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45" windowWidth="8130" windowHeight="8010" activeTab="0"/>
  </bookViews>
  <sheets>
    <sheet name="PPCR" sheetId="1" r:id="rId1"/>
    <sheet name="Etude_Reclassement" sheetId="2" state="hidden" r:id="rId2"/>
    <sheet name="Reclassement" sheetId="3" state="hidden" r:id="rId3"/>
    <sheet name="PEGC" sheetId="4" state="hidden" r:id="rId4"/>
    <sheet name="Inst" sheetId="5" state="hidden" r:id="rId5"/>
    <sheet name="CPE" sheetId="6" state="hidden" r:id="rId6"/>
    <sheet name="Agr" sheetId="7" state="hidden" r:id="rId7"/>
    <sheet name="Cert" sheetId="8" state="hidden" r:id="rId8"/>
    <sheet name="May" sheetId="9" state="hidden" r:id="rId9"/>
  </sheets>
  <definedNames>
    <definedName name="_xlnm.Print_Area" localSheetId="0">'PPCR'!$A$1:$O$46</definedName>
  </definedNames>
  <calcPr fullCalcOnLoad="1"/>
</workbook>
</file>

<file path=xl/sharedStrings.xml><?xml version="1.0" encoding="utf-8"?>
<sst xmlns="http://schemas.openxmlformats.org/spreadsheetml/2006/main" count="434" uniqueCount="86">
  <si>
    <t>ÉCHELONS</t>
  </si>
  <si>
    <t>DURÉE</t>
  </si>
  <si>
    <t>―</t>
  </si>
  <si>
    <t>2 ans 6 mois</t>
  </si>
  <si>
    <t>1 an</t>
  </si>
  <si>
    <t>3 ans</t>
  </si>
  <si>
    <t>2 ans</t>
  </si>
  <si>
    <t>3 ans 6 mois</t>
  </si>
  <si>
    <t>1 an 6 mois</t>
  </si>
  <si>
    <t>4 ans</t>
  </si>
  <si>
    <t>NOUVELLE SITUATION</t>
  </si>
  <si>
    <t>ANCIENNETÉ CONSERVÉE dans la limite de la durée de l’échelon</t>
  </si>
  <si>
    <t>Ancienneté acquise</t>
  </si>
  <si>
    <t>9 mois</t>
  </si>
  <si>
    <t>Sans ancienneté</t>
  </si>
  <si>
    <t>Ancienneté acquise majorée de 3 mois</t>
  </si>
  <si>
    <t xml:space="preserve">3 ans </t>
  </si>
  <si>
    <t>Grades</t>
  </si>
  <si>
    <t>Echelons</t>
  </si>
  <si>
    <t>Corps</t>
  </si>
  <si>
    <t>CE_EPS</t>
  </si>
  <si>
    <t>PEGC</t>
  </si>
  <si>
    <t>CPE</t>
  </si>
  <si>
    <t>Instituteur</t>
  </si>
  <si>
    <t>Agrégé</t>
  </si>
  <si>
    <t>Certifié</t>
  </si>
  <si>
    <t>PLP</t>
  </si>
  <si>
    <t>PEPS</t>
  </si>
  <si>
    <t>Prof. Ecole</t>
  </si>
  <si>
    <t>Instituteur Mayotte</t>
  </si>
  <si>
    <t>Corps :</t>
  </si>
  <si>
    <t>Grade :</t>
  </si>
  <si>
    <t>Echelon :</t>
  </si>
  <si>
    <t>Date  :</t>
  </si>
  <si>
    <t>(jj/mm/aaaa)</t>
  </si>
  <si>
    <t>ancienneté d'échelon au 01/09/2017 :</t>
  </si>
  <si>
    <t>années</t>
  </si>
  <si>
    <t>mois</t>
  </si>
  <si>
    <t>jours</t>
  </si>
  <si>
    <t>MOIS</t>
  </si>
  <si>
    <t>nombre de mois :</t>
  </si>
  <si>
    <t>CESpécial</t>
  </si>
  <si>
    <t>CE</t>
  </si>
  <si>
    <t>HC</t>
  </si>
  <si>
    <t>CN</t>
  </si>
  <si>
    <t>Echelon</t>
  </si>
  <si>
    <t>Feuille</t>
  </si>
  <si>
    <t>Durée</t>
  </si>
  <si>
    <t>Nouveau</t>
  </si>
  <si>
    <t>Resultat</t>
  </si>
  <si>
    <t>Ancienneté</t>
  </si>
  <si>
    <t>Anciennete2</t>
  </si>
  <si>
    <t xml:space="preserve">Agrege : </t>
  </si>
  <si>
    <t>Cert</t>
  </si>
  <si>
    <t>Code</t>
  </si>
  <si>
    <t>DURÉE (en mois)</t>
  </si>
  <si>
    <t>NOUVELLE SITUATION AU 01/09/2017</t>
  </si>
  <si>
    <t>Ancienneté :</t>
  </si>
  <si>
    <t>Reclassement :</t>
  </si>
  <si>
    <t>Date :</t>
  </si>
  <si>
    <t xml:space="preserve">Grade: </t>
  </si>
  <si>
    <t>liste déroulante</t>
  </si>
  <si>
    <t>Inst</t>
  </si>
  <si>
    <t>May</t>
  </si>
  <si>
    <t>INDICES</t>
  </si>
  <si>
    <t>Indice</t>
  </si>
  <si>
    <t>Indice :</t>
  </si>
  <si>
    <t>HE A</t>
  </si>
  <si>
    <t>HE B</t>
  </si>
  <si>
    <t>Oui</t>
  </si>
  <si>
    <t>Non</t>
  </si>
  <si>
    <t>Bonif</t>
  </si>
  <si>
    <t xml:space="preserve"> SITUATION AU 31/08/2017</t>
  </si>
  <si>
    <t xml:space="preserve">Reclassement au 01/09/2017  : </t>
  </si>
  <si>
    <t>Indice actuel :</t>
  </si>
  <si>
    <t>INDICES ACTUELS</t>
  </si>
  <si>
    <t>indice</t>
  </si>
  <si>
    <t xml:space="preserve">Parcours Professionnels, Carrières et Rémunérations  </t>
  </si>
  <si>
    <t>(PPCR)</t>
  </si>
  <si>
    <t>Nouvelles grilles en septembre 2017</t>
  </si>
  <si>
    <r>
      <t>Reclassement au 1</t>
    </r>
    <r>
      <rPr>
        <b/>
        <vertAlign val="superscript"/>
        <sz val="14"/>
        <rFont val="Arial"/>
        <family val="2"/>
      </rPr>
      <t>er</t>
    </r>
    <r>
      <rPr>
        <b/>
        <sz val="14"/>
        <rFont val="Arial"/>
        <family val="2"/>
      </rPr>
      <t xml:space="preserve"> septembre 2017</t>
    </r>
  </si>
  <si>
    <t>Le calculateur ci-dessous vous permet de connaître votre reclassement dans la nouvelle grille de votre corps</t>
  </si>
  <si>
    <t xml:space="preserve">Pour l'utiliser, il vous suffit simplement de renseigner les cases colorées. Il vous faudra utiliser, à chaque fois, les listes déroulantes de choix.
</t>
  </si>
  <si>
    <t xml:space="preserve"> SITUATION   AU   31/08/2017</t>
  </si>
  <si>
    <t xml:space="preserve"> RECLASSEMENT  AU   01/09/2017</t>
  </si>
  <si>
    <t xml:space="preserve">                 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</si>
</sst>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sz val="14"/>
      <color indexed="8"/>
      <name val="Arial Narrow"/>
      <family val="2"/>
    </font>
    <font>
      <sz val="20"/>
      <color indexed="8"/>
      <name val="Arial Narrow"/>
      <family val="2"/>
    </font>
    <font>
      <sz val="36"/>
      <color indexed="8"/>
      <name val="Arial Narrow"/>
      <family val="2"/>
    </font>
    <font>
      <sz val="22"/>
      <color indexed="8"/>
      <name val="Arial Narrow"/>
      <family val="2"/>
    </font>
    <font>
      <sz val="14"/>
      <color indexed="8"/>
      <name val="Calibri"/>
      <family val="2"/>
    </font>
    <font>
      <sz val="18"/>
      <color indexed="8"/>
      <name val="Arial Narrow"/>
      <family val="2"/>
    </font>
    <font>
      <sz val="24"/>
      <color indexed="8"/>
      <name val="Arial Narrow"/>
      <family val="2"/>
    </font>
    <font>
      <b/>
      <sz val="18"/>
      <color indexed="8"/>
      <name val="Arial Narrow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20"/>
      <color theme="1"/>
      <name val="Arial Narrow"/>
      <family val="2"/>
    </font>
    <font>
      <sz val="36"/>
      <color theme="1"/>
      <name val="Arial Narrow"/>
      <family val="2"/>
    </font>
    <font>
      <sz val="22"/>
      <color theme="1"/>
      <name val="Arial Narrow"/>
      <family val="2"/>
    </font>
    <font>
      <sz val="14"/>
      <color theme="1"/>
      <name val="Calibri"/>
      <family val="2"/>
    </font>
    <font>
      <sz val="18"/>
      <color theme="1"/>
      <name val="Arial Narrow"/>
      <family val="2"/>
    </font>
    <font>
      <sz val="24"/>
      <color theme="1"/>
      <name val="Arial Narrow"/>
      <family val="2"/>
    </font>
    <font>
      <sz val="13"/>
      <color theme="1"/>
      <name val="Calibri"/>
      <family val="2"/>
    </font>
    <font>
      <b/>
      <sz val="1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16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center"/>
    </xf>
    <xf numFmtId="1" fontId="50" fillId="0" borderId="10" xfId="0" applyNumberFormat="1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1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14" fontId="51" fillId="0" borderId="0" xfId="0" applyNumberFormat="1" applyFont="1" applyAlignment="1" applyProtection="1">
      <alignment/>
      <protection hidden="1"/>
    </xf>
    <xf numFmtId="0" fontId="50" fillId="0" borderId="11" xfId="0" applyFont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0" fontId="52" fillId="0" borderId="0" xfId="0" applyFont="1" applyAlignment="1" applyProtection="1">
      <alignment horizontal="center" vertical="center"/>
      <protection hidden="1"/>
    </xf>
    <xf numFmtId="1" fontId="52" fillId="0" borderId="0" xfId="0" applyNumberFormat="1" applyFont="1" applyAlignment="1" applyProtection="1">
      <alignment horizontal="center" vertical="center"/>
      <protection hidden="1"/>
    </xf>
    <xf numFmtId="0" fontId="53" fillId="0" borderId="0" xfId="0" applyFont="1" applyAlignment="1">
      <alignment/>
    </xf>
    <xf numFmtId="0" fontId="53" fillId="0" borderId="0" xfId="0" applyFont="1" applyAlignment="1" applyProtection="1">
      <alignment/>
      <protection hidden="1"/>
    </xf>
    <xf numFmtId="0" fontId="54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 hidden="1"/>
    </xf>
    <xf numFmtId="0" fontId="5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56" fillId="0" borderId="0" xfId="0" applyFont="1" applyAlignment="1">
      <alignment/>
    </xf>
    <xf numFmtId="0" fontId="56" fillId="0" borderId="0" xfId="0" applyFont="1" applyAlignment="1" applyProtection="1">
      <alignment/>
      <protection hidden="1"/>
    </xf>
    <xf numFmtId="0" fontId="50" fillId="0" borderId="0" xfId="0" applyFont="1" applyFill="1" applyBorder="1" applyAlignment="1">
      <alignment horizontal="center" vertical="top" wrapText="1"/>
    </xf>
    <xf numFmtId="14" fontId="56" fillId="0" borderId="0" xfId="0" applyNumberFormat="1" applyFont="1" applyFill="1" applyBorder="1" applyAlignment="1" applyProtection="1">
      <alignment/>
      <protection hidden="1"/>
    </xf>
    <xf numFmtId="0" fontId="5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52" fillId="0" borderId="0" xfId="0" applyFont="1" applyAlignment="1">
      <alignment/>
    </xf>
    <xf numFmtId="0" fontId="57" fillId="0" borderId="0" xfId="0" applyFont="1" applyFill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horizontal="center" vertical="center"/>
      <protection hidden="1"/>
    </xf>
    <xf numFmtId="0" fontId="3" fillId="0" borderId="0" xfId="50" applyFont="1" applyBorder="1" applyAlignment="1" applyProtection="1">
      <alignment horizontal="center" vertical="center" wrapText="1"/>
      <protection/>
    </xf>
    <xf numFmtId="0" fontId="4" fillId="0" borderId="0" xfId="50" applyFont="1" applyAlignment="1" applyProtection="1">
      <alignment horizontal="center"/>
      <protection/>
    </xf>
    <xf numFmtId="0" fontId="2" fillId="0" borderId="0" xfId="50" applyProtection="1">
      <alignment/>
      <protection/>
    </xf>
    <xf numFmtId="0" fontId="0" fillId="0" borderId="0" xfId="0" applyFont="1" applyAlignment="1" applyProtection="1">
      <alignment/>
      <protection/>
    </xf>
    <xf numFmtId="0" fontId="56" fillId="0" borderId="10" xfId="0" applyFont="1" applyBorder="1" applyAlignment="1" applyProtection="1">
      <alignment horizontal="center" vertical="center"/>
      <protection hidden="1"/>
    </xf>
    <xf numFmtId="0" fontId="6" fillId="0" borderId="0" xfId="50" applyFont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/>
      <protection/>
    </xf>
    <xf numFmtId="0" fontId="6" fillId="0" borderId="0" xfId="50" applyFont="1" applyBorder="1" applyAlignment="1" applyProtection="1">
      <alignment horizontal="left" vertical="center" wrapText="1"/>
      <protection/>
    </xf>
    <xf numFmtId="0" fontId="56" fillId="0" borderId="0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3" fillId="0" borderId="11" xfId="50" applyFont="1" applyBorder="1" applyAlignment="1" applyProtection="1">
      <alignment horizontal="center" vertical="center" wrapText="1"/>
      <protection/>
    </xf>
    <xf numFmtId="0" fontId="3" fillId="0" borderId="13" xfId="50" applyFont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/>
      <protection/>
    </xf>
    <xf numFmtId="0" fontId="52" fillId="0" borderId="0" xfId="0" applyFont="1" applyAlignment="1" applyProtection="1">
      <alignment horizontal="center"/>
      <protection hidden="1"/>
    </xf>
    <xf numFmtId="0" fontId="3" fillId="0" borderId="14" xfId="50" applyFont="1" applyBorder="1" applyAlignment="1" applyProtection="1">
      <alignment horizontal="center" vertical="center" wrapText="1"/>
      <protection/>
    </xf>
    <xf numFmtId="0" fontId="3" fillId="0" borderId="15" xfId="50" applyFont="1" applyBorder="1" applyAlignment="1" applyProtection="1">
      <alignment horizontal="center" vertical="center" wrapText="1"/>
      <protection/>
    </xf>
    <xf numFmtId="0" fontId="3" fillId="0" borderId="16" xfId="50" applyFont="1" applyBorder="1" applyAlignment="1" applyProtection="1">
      <alignment horizontal="center" vertical="center" wrapText="1"/>
      <protection/>
    </xf>
    <xf numFmtId="0" fontId="3" fillId="0" borderId="11" xfId="50" applyFont="1" applyBorder="1" applyAlignment="1" applyProtection="1">
      <alignment horizontal="center" vertical="center" wrapText="1"/>
      <protection/>
    </xf>
    <xf numFmtId="0" fontId="3" fillId="0" borderId="0" xfId="50" applyFont="1" applyBorder="1" applyAlignment="1" applyProtection="1">
      <alignment horizontal="center" vertical="center" wrapText="1"/>
      <protection/>
    </xf>
    <xf numFmtId="0" fontId="3" fillId="0" borderId="13" xfId="50" applyFont="1" applyBorder="1" applyAlignment="1" applyProtection="1">
      <alignment horizontal="center" vertical="center" wrapText="1"/>
      <protection/>
    </xf>
    <xf numFmtId="0" fontId="3" fillId="0" borderId="12" xfId="50" applyFont="1" applyBorder="1" applyAlignment="1" applyProtection="1">
      <alignment horizontal="center" vertical="center" wrapText="1"/>
      <protection/>
    </xf>
    <xf numFmtId="0" fontId="3" fillId="0" borderId="17" xfId="50" applyFont="1" applyBorder="1" applyAlignment="1" applyProtection="1">
      <alignment horizontal="center" vertical="center" wrapText="1"/>
      <protection/>
    </xf>
    <xf numFmtId="0" fontId="3" fillId="0" borderId="18" xfId="50" applyFont="1" applyBorder="1" applyAlignment="1" applyProtection="1">
      <alignment horizontal="center" vertical="center" wrapText="1"/>
      <protection/>
    </xf>
    <xf numFmtId="0" fontId="4" fillId="0" borderId="0" xfId="50" applyFont="1" applyAlignment="1" applyProtection="1">
      <alignment horizontal="center"/>
      <protection/>
    </xf>
    <xf numFmtId="0" fontId="7" fillId="0" borderId="0" xfId="50" applyFont="1" applyBorder="1" applyAlignment="1" applyProtection="1">
      <alignment horizontal="center" vertical="center" wrapText="1"/>
      <protection/>
    </xf>
    <xf numFmtId="0" fontId="59" fillId="0" borderId="19" xfId="0" applyFont="1" applyBorder="1" applyAlignment="1" applyProtection="1">
      <alignment horizontal="center"/>
      <protection hidden="1"/>
    </xf>
    <xf numFmtId="0" fontId="59" fillId="0" borderId="20" xfId="0" applyFont="1" applyBorder="1" applyAlignment="1" applyProtection="1">
      <alignment horizontal="center"/>
      <protection hidden="1"/>
    </xf>
    <xf numFmtId="0" fontId="59" fillId="0" borderId="21" xfId="0" applyFont="1" applyBorder="1" applyAlignment="1" applyProtection="1">
      <alignment horizontal="center"/>
      <protection hidden="1"/>
    </xf>
    <xf numFmtId="0" fontId="56" fillId="0" borderId="13" xfId="0" applyFont="1" applyBorder="1" applyAlignment="1" applyProtection="1">
      <alignment horizontal="center" vertical="center"/>
      <protection/>
    </xf>
    <xf numFmtId="0" fontId="56" fillId="33" borderId="22" xfId="0" applyFont="1" applyFill="1" applyBorder="1" applyAlignment="1" applyProtection="1">
      <alignment horizontal="center" vertical="center"/>
      <protection locked="0"/>
    </xf>
    <xf numFmtId="0" fontId="56" fillId="33" borderId="23" xfId="0" applyFont="1" applyFill="1" applyBorder="1" applyAlignment="1" applyProtection="1">
      <alignment horizontal="center" vertical="center"/>
      <protection locked="0"/>
    </xf>
    <xf numFmtId="0" fontId="56" fillId="33" borderId="24" xfId="0" applyFont="1" applyFill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horizontal="center" vertical="center"/>
      <protection/>
    </xf>
    <xf numFmtId="0" fontId="52" fillId="33" borderId="22" xfId="0" applyFont="1" applyFill="1" applyBorder="1" applyAlignment="1" applyProtection="1">
      <alignment horizontal="center" vertical="center"/>
      <protection locked="0"/>
    </xf>
    <xf numFmtId="0" fontId="52" fillId="33" borderId="23" xfId="0" applyFont="1" applyFill="1" applyBorder="1" applyAlignment="1" applyProtection="1">
      <alignment horizontal="center" vertical="center"/>
      <protection locked="0"/>
    </xf>
    <xf numFmtId="0" fontId="52" fillId="33" borderId="24" xfId="0" applyFont="1" applyFill="1" applyBorder="1" applyAlignment="1" applyProtection="1">
      <alignment horizontal="center" vertical="center"/>
      <protection locked="0"/>
    </xf>
    <xf numFmtId="14" fontId="56" fillId="33" borderId="19" xfId="0" applyNumberFormat="1" applyFont="1" applyFill="1" applyBorder="1" applyAlignment="1" applyProtection="1">
      <alignment horizontal="center" vertical="center"/>
      <protection locked="0"/>
    </xf>
    <xf numFmtId="0" fontId="56" fillId="33" borderId="21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0" fontId="56" fillId="0" borderId="19" xfId="0" applyFont="1" applyBorder="1" applyAlignment="1" applyProtection="1">
      <alignment horizontal="center" vertical="center"/>
      <protection hidden="1"/>
    </xf>
    <xf numFmtId="0" fontId="56" fillId="0" borderId="21" xfId="0" applyFont="1" applyBorder="1" applyAlignment="1" applyProtection="1">
      <alignment horizontal="center" vertical="center"/>
      <protection hidden="1"/>
    </xf>
    <xf numFmtId="0" fontId="56" fillId="0" borderId="0" xfId="0" applyFont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 hidden="1"/>
    </xf>
    <xf numFmtId="0" fontId="52" fillId="33" borderId="14" xfId="0" applyFont="1" applyFill="1" applyBorder="1" applyAlignment="1" applyProtection="1">
      <alignment horizontal="center" vertical="center"/>
      <protection locked="0"/>
    </xf>
    <xf numFmtId="0" fontId="52" fillId="33" borderId="16" xfId="0" applyFont="1" applyFill="1" applyBorder="1" applyAlignment="1" applyProtection="1">
      <alignment horizontal="center" vertical="center"/>
      <protection locked="0"/>
    </xf>
    <xf numFmtId="0" fontId="52" fillId="33" borderId="11" xfId="0" applyFont="1" applyFill="1" applyBorder="1" applyAlignment="1" applyProtection="1">
      <alignment horizontal="center" vertical="center"/>
      <protection locked="0"/>
    </xf>
    <xf numFmtId="0" fontId="52" fillId="33" borderId="13" xfId="0" applyFont="1" applyFill="1" applyBorder="1" applyAlignment="1" applyProtection="1">
      <alignment horizontal="center" vertical="center"/>
      <protection locked="0"/>
    </xf>
    <xf numFmtId="0" fontId="52" fillId="33" borderId="12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 vertical="center"/>
      <protection locked="0"/>
    </xf>
    <xf numFmtId="0" fontId="57" fillId="0" borderId="22" xfId="0" applyFont="1" applyFill="1" applyBorder="1" applyAlignment="1" applyProtection="1">
      <alignment horizontal="center" vertical="center"/>
      <protection locked="0"/>
    </xf>
    <xf numFmtId="0" fontId="57" fillId="0" borderId="23" xfId="0" applyFont="1" applyFill="1" applyBorder="1" applyAlignment="1" applyProtection="1">
      <alignment horizontal="center" vertical="center"/>
      <protection locked="0"/>
    </xf>
    <xf numFmtId="0" fontId="57" fillId="0" borderId="24" xfId="0" applyFont="1" applyFill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horizontal="center" vertical="center"/>
      <protection hidden="1"/>
    </xf>
    <xf numFmtId="0" fontId="54" fillId="0" borderId="0" xfId="0" applyFont="1" applyAlignment="1">
      <alignment horizontal="center"/>
    </xf>
    <xf numFmtId="0" fontId="54" fillId="0" borderId="19" xfId="0" applyFont="1" applyBorder="1" applyAlignment="1" applyProtection="1">
      <alignment horizontal="center"/>
      <protection hidden="1"/>
    </xf>
    <xf numFmtId="0" fontId="54" fillId="0" borderId="20" xfId="0" applyFont="1" applyBorder="1" applyAlignment="1" applyProtection="1">
      <alignment horizontal="center"/>
      <protection hidden="1"/>
    </xf>
    <xf numFmtId="0" fontId="54" fillId="0" borderId="21" xfId="0" applyFont="1" applyBorder="1" applyAlignment="1" applyProtection="1">
      <alignment horizontal="center"/>
      <protection hidden="1"/>
    </xf>
    <xf numFmtId="0" fontId="57" fillId="0" borderId="19" xfId="0" applyFont="1" applyBorder="1" applyAlignment="1" applyProtection="1">
      <alignment horizontal="center"/>
      <protection hidden="1"/>
    </xf>
    <xf numFmtId="0" fontId="57" fillId="0" borderId="20" xfId="0" applyFont="1" applyBorder="1" applyAlignment="1" applyProtection="1">
      <alignment horizontal="center"/>
      <protection hidden="1"/>
    </xf>
    <xf numFmtId="0" fontId="57" fillId="0" borderId="21" xfId="0" applyFont="1" applyBorder="1" applyAlignment="1" applyProtection="1">
      <alignment horizontal="center"/>
      <protection hidden="1"/>
    </xf>
    <xf numFmtId="0" fontId="0" fillId="0" borderId="15" xfId="0" applyBorder="1" applyAlignment="1">
      <alignment horizontal="center" vertical="center"/>
    </xf>
    <xf numFmtId="0" fontId="56" fillId="33" borderId="14" xfId="0" applyFont="1" applyFill="1" applyBorder="1" applyAlignment="1" applyProtection="1">
      <alignment horizontal="center" vertical="center"/>
      <protection locked="0"/>
    </xf>
    <xf numFmtId="0" fontId="56" fillId="33" borderId="16" xfId="0" applyFont="1" applyFill="1" applyBorder="1" applyAlignment="1" applyProtection="1">
      <alignment horizontal="center" vertical="center"/>
      <protection locked="0"/>
    </xf>
    <xf numFmtId="0" fontId="56" fillId="33" borderId="11" xfId="0" applyFont="1" applyFill="1" applyBorder="1" applyAlignment="1" applyProtection="1">
      <alignment horizontal="center" vertical="center"/>
      <protection locked="0"/>
    </xf>
    <xf numFmtId="0" fontId="56" fillId="33" borderId="13" xfId="0" applyFont="1" applyFill="1" applyBorder="1" applyAlignment="1" applyProtection="1">
      <alignment horizontal="center" vertical="center"/>
      <protection locked="0"/>
    </xf>
    <xf numFmtId="0" fontId="56" fillId="33" borderId="12" xfId="0" applyFont="1" applyFill="1" applyBorder="1" applyAlignment="1" applyProtection="1">
      <alignment horizontal="center" vertical="center"/>
      <protection locked="0"/>
    </xf>
    <xf numFmtId="0" fontId="56" fillId="33" borderId="18" xfId="0" applyFont="1" applyFill="1" applyBorder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horizontal="center" vertical="center"/>
      <protection hidden="1"/>
    </xf>
    <xf numFmtId="0" fontId="56" fillId="0" borderId="0" xfId="0" applyFont="1" applyAlignment="1" applyProtection="1">
      <alignment horizontal="left"/>
      <protection hidden="1"/>
    </xf>
    <xf numFmtId="0" fontId="56" fillId="0" borderId="0" xfId="0" applyFont="1" applyAlignment="1" applyProtection="1">
      <alignment horizontal="center"/>
      <protection hidden="1"/>
    </xf>
    <xf numFmtId="0" fontId="56" fillId="0" borderId="19" xfId="0" applyFont="1" applyBorder="1" applyAlignment="1" applyProtection="1">
      <alignment horizontal="center"/>
      <protection hidden="1"/>
    </xf>
    <xf numFmtId="0" fontId="56" fillId="0" borderId="20" xfId="0" applyFont="1" applyBorder="1" applyAlignment="1" applyProtection="1">
      <alignment horizontal="center"/>
      <protection hidden="1"/>
    </xf>
    <xf numFmtId="0" fontId="56" fillId="0" borderId="21" xfId="0" applyFont="1" applyBorder="1" applyAlignment="1" applyProtection="1">
      <alignment horizontal="center"/>
      <protection hidden="1"/>
    </xf>
    <xf numFmtId="0" fontId="50" fillId="0" borderId="13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2</xdr:col>
      <xdr:colOff>990600</xdr:colOff>
      <xdr:row>7</xdr:row>
      <xdr:rowOff>76200</xdr:rowOff>
    </xdr:to>
    <xdr:pic>
      <xdr:nvPicPr>
        <xdr:cNvPr id="1" name="Picture 51" descr="LOGO 2015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21336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95250</xdr:rowOff>
    </xdr:from>
    <xdr:to>
      <xdr:col>3</xdr:col>
      <xdr:colOff>76200</xdr:colOff>
      <xdr:row>10</xdr:row>
      <xdr:rowOff>238125</xdr:rowOff>
    </xdr:to>
    <xdr:pic>
      <xdr:nvPicPr>
        <xdr:cNvPr id="2" name="Image 2" descr="LogoFAEN couleur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5250"/>
          <a:ext cx="26384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43"/>
  <sheetViews>
    <sheetView tabSelected="1" zoomScale="75" zoomScaleNormal="75" zoomScalePageLayoutView="0" workbookViewId="0" topLeftCell="A1">
      <selection activeCell="O39" sqref="O39"/>
    </sheetView>
  </sheetViews>
  <sheetFormatPr defaultColWidth="11.421875" defaultRowHeight="15"/>
  <cols>
    <col min="1" max="1" width="3.7109375" style="17" customWidth="1"/>
    <col min="2" max="2" width="14.7109375" style="17" customWidth="1"/>
    <col min="3" max="3" width="21.28125" style="17" customWidth="1"/>
    <col min="4" max="4" width="6.140625" style="17" customWidth="1"/>
    <col min="5" max="5" width="15.140625" style="17" customWidth="1"/>
    <col min="6" max="6" width="16.00390625" style="17" customWidth="1"/>
    <col min="7" max="7" width="11.7109375" style="17" customWidth="1"/>
    <col min="8" max="8" width="16.57421875" style="17" customWidth="1"/>
    <col min="9" max="9" width="10.7109375" style="17" customWidth="1"/>
    <col min="10" max="10" width="20.57421875" style="17" customWidth="1"/>
    <col min="11" max="11" width="11.140625" style="17" customWidth="1"/>
    <col min="12" max="15" width="11.421875" style="17" customWidth="1"/>
    <col min="16" max="16" width="27.140625" style="17" hidden="1" customWidth="1"/>
    <col min="17" max="17" width="11.421875" style="17" hidden="1" customWidth="1"/>
    <col min="18" max="18" width="14.140625" style="17" hidden="1" customWidth="1"/>
    <col min="19" max="19" width="11.421875" style="17" hidden="1" customWidth="1"/>
    <col min="20" max="16384" width="11.421875" style="17" customWidth="1"/>
  </cols>
  <sheetData>
    <row r="1" ht="15" customHeight="1"/>
    <row r="2" ht="7.5" customHeight="1"/>
    <row r="3" spans="5:11" ht="24.75" customHeight="1">
      <c r="E3" s="47" t="s">
        <v>77</v>
      </c>
      <c r="F3" s="48"/>
      <c r="G3" s="48"/>
      <c r="H3" s="48"/>
      <c r="I3" s="48"/>
      <c r="J3" s="49"/>
      <c r="K3" s="32"/>
    </row>
    <row r="4" spans="5:11" ht="9.75" customHeight="1">
      <c r="E4" s="43"/>
      <c r="F4" s="32"/>
      <c r="G4" s="32"/>
      <c r="H4" s="32"/>
      <c r="I4" s="32"/>
      <c r="J4" s="44"/>
      <c r="K4" s="32"/>
    </row>
    <row r="5" spans="4:11" ht="24.75" customHeight="1">
      <c r="D5" s="17" t="s">
        <v>85</v>
      </c>
      <c r="E5" s="50" t="s">
        <v>78</v>
      </c>
      <c r="F5" s="51"/>
      <c r="G5" s="51"/>
      <c r="H5" s="51"/>
      <c r="I5" s="51"/>
      <c r="J5" s="52"/>
      <c r="K5" s="32"/>
    </row>
    <row r="6" spans="5:11" ht="9.75" customHeight="1">
      <c r="E6" s="43"/>
      <c r="F6" s="32"/>
      <c r="G6" s="32"/>
      <c r="H6" s="32"/>
      <c r="I6" s="32"/>
      <c r="J6" s="44"/>
      <c r="K6" s="32"/>
    </row>
    <row r="7" spans="5:11" ht="24.75" customHeight="1">
      <c r="E7" s="53" t="s">
        <v>79</v>
      </c>
      <c r="F7" s="54"/>
      <c r="G7" s="54"/>
      <c r="H7" s="54"/>
      <c r="I7" s="54"/>
      <c r="J7" s="55"/>
      <c r="K7" s="32"/>
    </row>
    <row r="8" spans="5:11" ht="7.5" customHeight="1">
      <c r="E8" s="32"/>
      <c r="F8" s="32"/>
      <c r="G8" s="32"/>
      <c r="H8" s="32"/>
      <c r="I8" s="32"/>
      <c r="J8" s="32"/>
      <c r="K8" s="32"/>
    </row>
    <row r="9" ht="7.5" customHeight="1"/>
    <row r="10" ht="7.5" customHeight="1"/>
    <row r="11" spans="5:11" ht="21">
      <c r="E11" s="56" t="s">
        <v>80</v>
      </c>
      <c r="F11" s="56"/>
      <c r="G11" s="56"/>
      <c r="H11" s="56"/>
      <c r="I11" s="56"/>
      <c r="J11" s="56"/>
      <c r="K11" s="56"/>
    </row>
    <row r="12" spans="5:11" ht="9.75" customHeight="1">
      <c r="E12" s="33"/>
      <c r="F12" s="33"/>
      <c r="G12" s="33"/>
      <c r="H12" s="33"/>
      <c r="I12" s="33"/>
      <c r="J12" s="33"/>
      <c r="K12" s="34"/>
    </row>
    <row r="13" spans="2:14" ht="24.75" customHeight="1">
      <c r="B13" s="45"/>
      <c r="C13" s="57" t="s">
        <v>81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45"/>
    </row>
    <row r="14" spans="2:14" ht="27.75" customHeight="1">
      <c r="B14" s="57" t="s">
        <v>82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5:11" ht="19.5" customHeight="1">
      <c r="E15" s="37"/>
      <c r="F15" s="37"/>
      <c r="G15" s="37"/>
      <c r="H15" s="37"/>
      <c r="I15" s="37"/>
      <c r="J15" s="37"/>
      <c r="K15" s="34"/>
    </row>
    <row r="16" spans="2:19" ht="25.5">
      <c r="B16" s="58" t="s">
        <v>83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60"/>
      <c r="P16" s="12" t="s">
        <v>19</v>
      </c>
      <c r="Q16" s="12" t="s">
        <v>17</v>
      </c>
      <c r="R16" s="12" t="s">
        <v>18</v>
      </c>
      <c r="S16" s="38"/>
    </row>
    <row r="17" spans="9:19" ht="9.75" customHeight="1">
      <c r="I17" s="39"/>
      <c r="J17" s="39"/>
      <c r="K17" s="34"/>
      <c r="P17" s="12" t="s">
        <v>24</v>
      </c>
      <c r="Q17" s="12" t="s">
        <v>42</v>
      </c>
      <c r="R17" s="13">
        <v>1</v>
      </c>
      <c r="S17" s="38"/>
    </row>
    <row r="18" spans="9:19" ht="9.75" customHeight="1">
      <c r="I18" s="39"/>
      <c r="J18" s="39"/>
      <c r="K18" s="34"/>
      <c r="P18" s="12" t="s">
        <v>20</v>
      </c>
      <c r="Q18" s="12" t="s">
        <v>43</v>
      </c>
      <c r="R18" s="13">
        <v>2</v>
      </c>
      <c r="S18" s="38" t="s">
        <v>69</v>
      </c>
    </row>
    <row r="19" spans="2:19" ht="27">
      <c r="B19" s="61" t="s">
        <v>30</v>
      </c>
      <c r="C19" s="62"/>
      <c r="E19" s="65" t="s">
        <v>60</v>
      </c>
      <c r="F19" s="66"/>
      <c r="G19" s="40"/>
      <c r="H19" s="18" t="s">
        <v>32</v>
      </c>
      <c r="I19" s="66"/>
      <c r="K19" s="18" t="s">
        <v>59</v>
      </c>
      <c r="L19" s="69"/>
      <c r="M19" s="70"/>
      <c r="P19" s="12" t="s">
        <v>25</v>
      </c>
      <c r="Q19" s="12" t="s">
        <v>44</v>
      </c>
      <c r="R19" s="13">
        <v>3</v>
      </c>
      <c r="S19" s="38" t="s">
        <v>70</v>
      </c>
    </row>
    <row r="20" spans="2:18" ht="12" customHeight="1">
      <c r="B20" s="61"/>
      <c r="C20" s="63"/>
      <c r="E20" s="65"/>
      <c r="F20" s="67"/>
      <c r="G20" s="40"/>
      <c r="H20" s="35" t="s">
        <v>61</v>
      </c>
      <c r="I20" s="68"/>
      <c r="L20" s="71" t="s">
        <v>34</v>
      </c>
      <c r="M20" s="71"/>
      <c r="P20" s="12" t="s">
        <v>22</v>
      </c>
      <c r="R20" s="13">
        <v>4</v>
      </c>
    </row>
    <row r="21" spans="2:18" ht="12.75" customHeight="1">
      <c r="B21" s="35" t="s">
        <v>61</v>
      </c>
      <c r="C21" s="64"/>
      <c r="E21" s="17" t="s">
        <v>61</v>
      </c>
      <c r="F21" s="68"/>
      <c r="G21" s="40"/>
      <c r="K21" s="41"/>
      <c r="P21" s="12" t="s">
        <v>23</v>
      </c>
      <c r="R21" s="13">
        <v>5</v>
      </c>
    </row>
    <row r="22" spans="4:18" ht="19.5" customHeight="1">
      <c r="D22" s="41"/>
      <c r="P22" s="12" t="s">
        <v>29</v>
      </c>
      <c r="R22" s="13">
        <v>6</v>
      </c>
    </row>
    <row r="23" spans="2:18" ht="30">
      <c r="B23" s="74">
        <f>IF(AND(Reclassement!K4="Cert",F19="CN"),"Etes-vous Bi-Admissible ?","")</f>
      </c>
      <c r="C23" s="74"/>
      <c r="D23" s="74"/>
      <c r="E23" s="75"/>
      <c r="F23" s="42"/>
      <c r="G23" s="77" t="s">
        <v>74</v>
      </c>
      <c r="H23" s="77"/>
      <c r="I23" s="36">
        <f>IF(OR(C19="",F19="",I19="",L19=""),"",Reclassement!D11)</f>
      </c>
      <c r="K23" s="78">
        <f>IF(E23="","",IF(E23="Oui","Bonif. : ",""))</f>
      </c>
      <c r="L23" s="78"/>
      <c r="M23" s="36">
        <f>IF(E23="","",IF(E23="Non","",Cert!J22))</f>
      </c>
      <c r="P23" s="12" t="s">
        <v>21</v>
      </c>
      <c r="R23" s="13">
        <v>7</v>
      </c>
    </row>
    <row r="24" spans="2:18" ht="12" customHeight="1">
      <c r="B24" s="35">
        <f>IF(B23="","","liste déroulante ci-contre")</f>
      </c>
      <c r="E24" s="76"/>
      <c r="F24" s="42"/>
      <c r="P24" s="12" t="s">
        <v>27</v>
      </c>
      <c r="R24" s="13">
        <v>8</v>
      </c>
    </row>
    <row r="25" spans="6:18" ht="9.75" customHeight="1">
      <c r="F25" s="42"/>
      <c r="P25" s="12" t="s">
        <v>26</v>
      </c>
      <c r="R25" s="13">
        <v>9</v>
      </c>
    </row>
    <row r="26" spans="6:18" ht="24.75" customHeight="1">
      <c r="F26" s="46">
        <f>IF(I23="HE A","Le groupe hors échelle A comprend 3 chevrons : ","")</f>
      </c>
      <c r="G26" s="46"/>
      <c r="H26" s="46"/>
      <c r="I26" s="46"/>
      <c r="J26" s="46"/>
      <c r="K26" s="46"/>
      <c r="L26" s="46"/>
      <c r="P26" s="12" t="s">
        <v>28</v>
      </c>
      <c r="R26" s="13">
        <v>10</v>
      </c>
    </row>
    <row r="27" spans="16:18" ht="15" customHeight="1" hidden="1">
      <c r="P27" s="12"/>
      <c r="R27" s="13">
        <v>11</v>
      </c>
    </row>
    <row r="28" spans="16:18" ht="15" customHeight="1">
      <c r="P28" s="12"/>
      <c r="R28" s="13"/>
    </row>
    <row r="29" spans="6:18" ht="24.75" customHeight="1">
      <c r="F29" s="46">
        <f>IF(I23="HE A","A I : 885  -  A II : 920  -  A III : 967","")</f>
      </c>
      <c r="G29" s="46"/>
      <c r="H29" s="46"/>
      <c r="I29" s="46"/>
      <c r="J29" s="46"/>
      <c r="K29" s="46"/>
      <c r="L29" s="46"/>
      <c r="P29" s="12"/>
      <c r="R29" s="13"/>
    </row>
    <row r="30" spans="16:18" ht="15" customHeight="1">
      <c r="P30" s="12"/>
      <c r="R30" s="13">
        <v>12</v>
      </c>
    </row>
    <row r="31" spans="2:14" ht="23.25">
      <c r="B31" s="58" t="s">
        <v>84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60"/>
    </row>
    <row r="32" ht="9.75" customHeight="1"/>
    <row r="33" ht="9.75" customHeight="1">
      <c r="F33" s="42"/>
    </row>
    <row r="35" spans="2:12" ht="27">
      <c r="B35" s="19" t="s">
        <v>31</v>
      </c>
      <c r="C35" s="72">
        <f>IF(C19="","",Reclassement!F20)</f>
      </c>
      <c r="D35" s="73"/>
      <c r="F35" s="19" t="s">
        <v>32</v>
      </c>
      <c r="G35" s="36">
        <f>IF(OR(C19="",F19="",I19="",L19=""),"",Reclassement!F22)</f>
      </c>
      <c r="H35" s="31"/>
      <c r="J35" s="19" t="s">
        <v>57</v>
      </c>
      <c r="K35" s="72">
        <f>IF(OR(C19="",F19="",I19="",L19=""),"",Reclassement!F24)</f>
      </c>
      <c r="L35" s="73"/>
    </row>
    <row r="39" spans="5:11" ht="27">
      <c r="E39" s="19" t="s">
        <v>66</v>
      </c>
      <c r="F39" s="72">
        <f>IF(OR(C19="",F19="",I19="",L19=""),"",Reclassement!F26)</f>
      </c>
      <c r="G39" s="73"/>
      <c r="H39"/>
      <c r="I39" s="19">
        <f>IF(E23="","",IF(E23="Non","","Bonif. : "))</f>
      </c>
      <c r="J39" s="36">
        <f>IF(E23="","",IF(E23="Non","",Cert!J22))</f>
      </c>
      <c r="K39" s="31"/>
    </row>
    <row r="41" spans="6:12" ht="25.5">
      <c r="F41" s="46">
        <f>IF(I23="HE A","Le groupe hors échelle A comprend 3 chevrons : ","")</f>
      </c>
      <c r="G41" s="46"/>
      <c r="H41" s="46"/>
      <c r="I41" s="46"/>
      <c r="J41" s="46"/>
      <c r="K41" s="46"/>
      <c r="L41" s="46"/>
    </row>
    <row r="43" spans="6:12" ht="25.5">
      <c r="F43" s="46">
        <f>IF(I23="HE A","A I : 885  -  A II : 920  -  A III : 967","")</f>
      </c>
      <c r="G43" s="46"/>
      <c r="H43" s="46"/>
      <c r="I43" s="46"/>
      <c r="J43" s="46"/>
      <c r="K43" s="46"/>
      <c r="L43" s="46"/>
    </row>
    <row r="44" ht="7.5" customHeight="1"/>
    <row r="45" ht="7.5" customHeight="1"/>
    <row r="46" ht="7.5" customHeight="1"/>
  </sheetData>
  <sheetProtection password="DB59" sheet="1"/>
  <mergeCells count="26">
    <mergeCell ref="C35:D35"/>
    <mergeCell ref="K35:L35"/>
    <mergeCell ref="F39:G39"/>
    <mergeCell ref="B23:D23"/>
    <mergeCell ref="E23:E24"/>
    <mergeCell ref="G23:H23"/>
    <mergeCell ref="K23:L23"/>
    <mergeCell ref="B31:N31"/>
    <mergeCell ref="F26:L26"/>
    <mergeCell ref="F29:L29"/>
    <mergeCell ref="C19:C21"/>
    <mergeCell ref="E19:E20"/>
    <mergeCell ref="F19:F21"/>
    <mergeCell ref="I19:I20"/>
    <mergeCell ref="L19:M19"/>
    <mergeCell ref="L20:M20"/>
    <mergeCell ref="F41:L41"/>
    <mergeCell ref="F43:L43"/>
    <mergeCell ref="E3:J3"/>
    <mergeCell ref="E5:J5"/>
    <mergeCell ref="E7:J7"/>
    <mergeCell ref="E11:K11"/>
    <mergeCell ref="C13:M13"/>
    <mergeCell ref="B14:N14"/>
    <mergeCell ref="B16:N16"/>
    <mergeCell ref="B19:B20"/>
  </mergeCells>
  <dataValidations count="9">
    <dataValidation type="list" allowBlank="1" showInputMessage="1" showErrorMessage="1" sqref="F23:F25">
      <formula1>$P$6:$P$7</formula1>
    </dataValidation>
    <dataValidation type="list" allowBlank="1" showInputMessage="1" showErrorMessage="1" sqref="G19:G21">
      <formula1>$N$5:$N$18</formula1>
    </dataValidation>
    <dataValidation type="list" allowBlank="1" showInputMessage="1" showErrorMessage="1" sqref="K21">
      <formula1>$O$5:$O$7</formula1>
    </dataValidation>
    <dataValidation type="list" allowBlank="1" showInputMessage="1" showErrorMessage="1" sqref="D22">
      <formula1>$P$5:$P$18</formula1>
    </dataValidation>
    <dataValidation type="list" allowBlank="1" showInputMessage="1" showErrorMessage="1" sqref="F33">
      <formula1>$Q$6:$Q$7</formula1>
    </dataValidation>
    <dataValidation type="list" allowBlank="1" showInputMessage="1" showErrorMessage="1" sqref="C19:C21 P31">
      <formula1>$P$17:$P$26</formula1>
    </dataValidation>
    <dataValidation type="list" allowBlank="1" showInputMessage="1" showErrorMessage="1" sqref="F19:F21">
      <formula1>$Q$17:$Q$19</formula1>
    </dataValidation>
    <dataValidation type="list" allowBlank="1" showInputMessage="1" showErrorMessage="1" sqref="I19:I20">
      <formula1>$R$17:$R$30</formula1>
    </dataValidation>
    <dataValidation type="list" allowBlank="1" showInputMessage="1" showErrorMessage="1" sqref="E23:E24">
      <formula1>$S$18:$S$19</formula1>
    </dataValidation>
  </dataValidations>
  <printOptions/>
  <pageMargins left="0.7086614173228346" right="0.7086614173228346" top="0.5511811023622047" bottom="0.5511811023622047" header="0.31496062992125984" footer="0.3149606299212598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Q32"/>
  <sheetViews>
    <sheetView zoomScale="75" zoomScaleNormal="75" zoomScalePageLayoutView="0" workbookViewId="0" topLeftCell="A7">
      <selection activeCell="B32" sqref="B32:H32"/>
    </sheetView>
  </sheetViews>
  <sheetFormatPr defaultColWidth="11.421875" defaultRowHeight="15"/>
  <cols>
    <col min="1" max="1" width="2.00390625" style="0" customWidth="1"/>
    <col min="2" max="2" width="20.57421875" style="17" customWidth="1"/>
    <col min="5" max="5" width="2.57421875" style="0" customWidth="1"/>
    <col min="6" max="6" width="15.7109375" style="0" customWidth="1"/>
    <col min="9" max="9" width="2.7109375" style="0" customWidth="1"/>
    <col min="10" max="12" width="11.421875" style="0" customWidth="1"/>
    <col min="13" max="13" width="27.140625" style="0" customWidth="1"/>
    <col min="14" max="14" width="11.421875" style="0" customWidth="1"/>
    <col min="15" max="15" width="14.140625" style="0" customWidth="1"/>
    <col min="16" max="17" width="11.421875" style="29" customWidth="1"/>
  </cols>
  <sheetData>
    <row r="1" ht="15" customHeight="1"/>
    <row r="3" ht="15" customHeight="1"/>
    <row r="4" spans="2:17" ht="27">
      <c r="B4" s="90" t="s">
        <v>72</v>
      </c>
      <c r="C4" s="91"/>
      <c r="D4" s="91"/>
      <c r="E4" s="91"/>
      <c r="F4" s="91"/>
      <c r="G4" s="91"/>
      <c r="H4" s="92"/>
      <c r="M4" s="12" t="s">
        <v>19</v>
      </c>
      <c r="N4" s="12" t="s">
        <v>17</v>
      </c>
      <c r="O4" s="12" t="s">
        <v>18</v>
      </c>
      <c r="Q4" s="12"/>
    </row>
    <row r="5" spans="13:15" ht="9.75" customHeight="1">
      <c r="M5" s="12" t="s">
        <v>24</v>
      </c>
      <c r="N5" s="12" t="s">
        <v>42</v>
      </c>
      <c r="O5" s="13">
        <v>1</v>
      </c>
    </row>
    <row r="6" spans="3:16" ht="24.75" customHeight="1">
      <c r="C6" s="97">
        <f>PPCR!C19</f>
        <v>0</v>
      </c>
      <c r="D6" s="98"/>
      <c r="G6" s="79">
        <f>PPCR!F19</f>
        <v>0</v>
      </c>
      <c r="H6" s="80"/>
      <c r="M6" s="12" t="s">
        <v>20</v>
      </c>
      <c r="N6" s="12" t="s">
        <v>43</v>
      </c>
      <c r="O6" s="13">
        <v>2</v>
      </c>
      <c r="P6" s="29" t="s">
        <v>69</v>
      </c>
    </row>
    <row r="7" spans="2:16" ht="24.75" customHeight="1">
      <c r="B7" s="18" t="s">
        <v>30</v>
      </c>
      <c r="C7" s="99"/>
      <c r="D7" s="100"/>
      <c r="F7" s="16" t="s">
        <v>60</v>
      </c>
      <c r="G7" s="81"/>
      <c r="H7" s="82"/>
      <c r="M7" s="12" t="s">
        <v>25</v>
      </c>
      <c r="N7" s="12" t="s">
        <v>44</v>
      </c>
      <c r="O7" s="13">
        <v>3</v>
      </c>
      <c r="P7" s="29" t="s">
        <v>70</v>
      </c>
    </row>
    <row r="8" spans="2:15" ht="24.75" customHeight="1">
      <c r="B8" s="20" t="s">
        <v>61</v>
      </c>
      <c r="C8" s="101"/>
      <c r="D8" s="102"/>
      <c r="F8" t="s">
        <v>61</v>
      </c>
      <c r="G8" s="83"/>
      <c r="H8" s="84"/>
      <c r="M8" s="12" t="s">
        <v>22</v>
      </c>
      <c r="N8" s="12"/>
      <c r="O8" s="13">
        <v>4</v>
      </c>
    </row>
    <row r="9" spans="6:15" ht="9.75" customHeight="1">
      <c r="F9" s="20"/>
      <c r="M9" s="12" t="s">
        <v>23</v>
      </c>
      <c r="N9" s="12"/>
      <c r="O9" s="13">
        <v>5</v>
      </c>
    </row>
    <row r="10" spans="3:15" ht="24.75" customHeight="1">
      <c r="C10" s="79">
        <f>PPCR!I19</f>
        <v>0</v>
      </c>
      <c r="D10" s="80"/>
      <c r="M10" s="12" t="s">
        <v>29</v>
      </c>
      <c r="N10" s="12"/>
      <c r="O10" s="13">
        <v>6</v>
      </c>
    </row>
    <row r="11" spans="2:15" ht="24.75" customHeight="1">
      <c r="B11" s="18" t="s">
        <v>32</v>
      </c>
      <c r="C11" s="81"/>
      <c r="D11" s="82"/>
      <c r="F11" s="16" t="s">
        <v>59</v>
      </c>
      <c r="G11" s="69">
        <f>PPCR!L19</f>
        <v>0</v>
      </c>
      <c r="H11" s="70"/>
      <c r="M11" s="12" t="s">
        <v>21</v>
      </c>
      <c r="N11" s="12"/>
      <c r="O11" s="13">
        <v>7</v>
      </c>
    </row>
    <row r="12" spans="2:15" ht="24.75" customHeight="1">
      <c r="B12" s="20" t="s">
        <v>61</v>
      </c>
      <c r="C12" s="83"/>
      <c r="D12" s="84"/>
      <c r="G12" s="96" t="s">
        <v>34</v>
      </c>
      <c r="H12" s="96"/>
      <c r="M12" s="12" t="s">
        <v>27</v>
      </c>
      <c r="N12" s="12"/>
      <c r="O12" s="13">
        <v>8</v>
      </c>
    </row>
    <row r="13" spans="13:15" ht="15" customHeight="1">
      <c r="M13" s="12" t="s">
        <v>26</v>
      </c>
      <c r="N13" s="12"/>
      <c r="O13" s="13">
        <v>9</v>
      </c>
    </row>
    <row r="14" spans="3:15" ht="24.75" customHeight="1">
      <c r="C14" s="89" t="s">
        <v>74</v>
      </c>
      <c r="D14" s="89"/>
      <c r="E14" s="89"/>
      <c r="F14" s="72" t="e">
        <f>IF(OR(C6="",G6="",C10="",G11=""),"",Reclassement!D11)</f>
        <v>#N/A</v>
      </c>
      <c r="G14" s="73"/>
      <c r="M14" s="12" t="s">
        <v>28</v>
      </c>
      <c r="N14" s="12"/>
      <c r="O14" s="13">
        <v>10</v>
      </c>
    </row>
    <row r="15" spans="13:15" ht="9.75" customHeight="1">
      <c r="M15" s="12"/>
      <c r="N15" s="12"/>
      <c r="O15" s="13">
        <v>11</v>
      </c>
    </row>
    <row r="16" spans="2:15" ht="24.75" customHeight="1">
      <c r="B16" s="19">
        <f>IF(AND(Reclassement!K4="Cert",G6="CN"),"Etes-vous Bi-Admissible ?","")</f>
      </c>
      <c r="F16" s="85"/>
      <c r="M16" s="12"/>
      <c r="N16" s="12"/>
      <c r="O16" s="13">
        <v>12</v>
      </c>
    </row>
    <row r="17" spans="2:6" ht="24.75" customHeight="1">
      <c r="B17" s="20">
        <f>IF(B16="","","liste déroulante ci-contre")</f>
      </c>
      <c r="F17" s="86"/>
    </row>
    <row r="18" ht="15" customHeight="1">
      <c r="F18" s="87"/>
    </row>
    <row r="19" spans="6:15" ht="15" customHeight="1">
      <c r="F19" s="30"/>
      <c r="M19" s="12"/>
      <c r="N19" s="12"/>
      <c r="O19" s="13"/>
    </row>
    <row r="20" spans="2:15" ht="30">
      <c r="B20" s="93" t="s">
        <v>73</v>
      </c>
      <c r="C20" s="94"/>
      <c r="D20" s="94"/>
      <c r="E20" s="94"/>
      <c r="F20" s="94"/>
      <c r="G20" s="94"/>
      <c r="H20" s="95"/>
      <c r="O20" s="13"/>
    </row>
    <row r="21" ht="9.75" customHeight="1">
      <c r="O21" s="13"/>
    </row>
    <row r="22" spans="2:4" ht="27">
      <c r="B22" s="19" t="s">
        <v>31</v>
      </c>
      <c r="C22" s="72">
        <f>IF(G6="","",Reclassement!F20)</f>
        <v>0</v>
      </c>
      <c r="D22" s="73"/>
    </row>
    <row r="23" spans="2:4" ht="9.75" customHeight="1">
      <c r="B23" s="19"/>
      <c r="C23" s="21"/>
      <c r="D23" s="21"/>
    </row>
    <row r="24" spans="2:4" ht="27">
      <c r="B24" s="19" t="s">
        <v>32</v>
      </c>
      <c r="C24" s="72" t="e">
        <f>IF(OR(C6="",G6="",C10="",G11=""),"",Reclassement!F22)</f>
        <v>#N/A</v>
      </c>
      <c r="D24" s="73"/>
    </row>
    <row r="25" spans="2:4" ht="9.75" customHeight="1">
      <c r="B25" s="19"/>
      <c r="C25" s="21"/>
      <c r="D25" s="21"/>
    </row>
    <row r="26" spans="2:4" ht="27">
      <c r="B26" s="19" t="s">
        <v>57</v>
      </c>
      <c r="C26" s="72" t="e">
        <f>IF(OR(C6="",G6="",C10="",G11=""),"",Reclassement!F24)</f>
        <v>#N/A</v>
      </c>
      <c r="D26" s="73"/>
    </row>
    <row r="27" ht="9.75" customHeight="1"/>
    <row r="28" spans="2:8" ht="27">
      <c r="B28" s="19" t="s">
        <v>66</v>
      </c>
      <c r="C28" s="72" t="e">
        <f>IF(OR(C6="",G6="",C10="",G11=""),"",Reclassement!F26)</f>
        <v>#N/A</v>
      </c>
      <c r="D28" s="73"/>
      <c r="F28" s="19">
        <f>IF(B17="","","Bonif. : ")</f>
      </c>
      <c r="G28" s="88">
        <f>IF(F16="","",IF(F16="Non","",Cert!J22))</f>
      </c>
      <c r="H28" s="88"/>
    </row>
    <row r="29" ht="15" customHeight="1"/>
    <row r="30" spans="2:8" ht="27.75" customHeight="1">
      <c r="B30" s="46" t="e">
        <f>IF(C28="HE A","Le groupe hors échelleA comprend 3 chevrons : ",IF(C28="HE B","Le groupe hors échelle B comprend 3 chevrons : ",""))</f>
        <v>#N/A</v>
      </c>
      <c r="C30" s="46"/>
      <c r="D30" s="46"/>
      <c r="E30" s="46"/>
      <c r="F30" s="46"/>
      <c r="G30" s="46"/>
      <c r="H30" s="46"/>
    </row>
    <row r="31" ht="15" customHeight="1"/>
    <row r="32" spans="2:8" ht="25.5">
      <c r="B32" s="46" t="e">
        <f>IF(C28="HE A","A I : 885  -  A II : 920  -  A III : 967",IF(C28="HE B","B I : 967  -  B II : 1008  -  B III : 1062",""))</f>
        <v>#N/A</v>
      </c>
      <c r="C32" s="46"/>
      <c r="D32" s="46"/>
      <c r="E32" s="46"/>
      <c r="F32" s="46"/>
      <c r="G32" s="46"/>
      <c r="H32" s="46"/>
    </row>
  </sheetData>
  <sheetProtection password="DB59" sheet="1"/>
  <mergeCells count="17">
    <mergeCell ref="B30:H30"/>
    <mergeCell ref="B32:H32"/>
    <mergeCell ref="B4:H4"/>
    <mergeCell ref="B20:H20"/>
    <mergeCell ref="C22:D22"/>
    <mergeCell ref="C24:D24"/>
    <mergeCell ref="C26:D26"/>
    <mergeCell ref="G12:H12"/>
    <mergeCell ref="C6:D8"/>
    <mergeCell ref="G6:H8"/>
    <mergeCell ref="C10:D12"/>
    <mergeCell ref="G11:H11"/>
    <mergeCell ref="C28:D28"/>
    <mergeCell ref="F16:F18"/>
    <mergeCell ref="G28:H28"/>
    <mergeCell ref="C14:E14"/>
    <mergeCell ref="F14:G14"/>
  </mergeCells>
  <dataValidations count="4">
    <dataValidation type="list" allowBlank="1" showInputMessage="1" showErrorMessage="1" sqref="C6:D8">
      <formula1>$M$5:$M$16</formula1>
    </dataValidation>
    <dataValidation type="list" allowBlank="1" showInputMessage="1" showErrorMessage="1" sqref="G6:H8">
      <formula1>$N$5:$N$7</formula1>
    </dataValidation>
    <dataValidation type="list" allowBlank="1" showInputMessage="1" showErrorMessage="1" sqref="C10:D12">
      <formula1>$O$5:$O$16</formula1>
    </dataValidation>
    <dataValidation type="list" allowBlank="1" showInputMessage="1" showErrorMessage="1" sqref="F16:F19">
      <formula1>$P$6:$P$7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5"/>
  <sheetViews>
    <sheetView zoomScale="50" zoomScaleNormal="50" zoomScalePageLayoutView="0" workbookViewId="0" topLeftCell="B1">
      <selection activeCell="D12" sqref="D12"/>
    </sheetView>
  </sheetViews>
  <sheetFormatPr defaultColWidth="11.57421875" defaultRowHeight="15"/>
  <cols>
    <col min="1" max="1" width="3.8515625" style="6" customWidth="1"/>
    <col min="2" max="2" width="11.57421875" style="6" customWidth="1"/>
    <col min="3" max="3" width="26.57421875" style="6" customWidth="1"/>
    <col min="4" max="4" width="26.7109375" style="6" customWidth="1"/>
    <col min="5" max="5" width="46.00390625" style="6" bestFit="1" customWidth="1"/>
    <col min="6" max="6" width="19.140625" style="6" bestFit="1" customWidth="1"/>
    <col min="7" max="7" width="31.421875" style="6" customWidth="1"/>
    <col min="8" max="8" width="34.8515625" style="6" bestFit="1" customWidth="1"/>
    <col min="9" max="10" width="11.57421875" style="6" customWidth="1"/>
    <col min="11" max="11" width="11.421875" style="7" customWidth="1"/>
    <col min="12" max="12" width="11.57421875" style="7" customWidth="1"/>
    <col min="13" max="13" width="25.8515625" style="8" customWidth="1"/>
    <col min="14" max="14" width="14.140625" style="8" customWidth="1"/>
    <col min="15" max="15" width="11.421875" style="8" customWidth="1"/>
    <col min="16" max="16" width="22.28125" style="7" customWidth="1"/>
    <col min="17" max="17" width="13.8515625" style="7" customWidth="1"/>
    <col min="18" max="18" width="18.00390625" style="7" customWidth="1"/>
    <col min="19" max="19" width="11.57421875" style="7" customWidth="1"/>
    <col min="20" max="16384" width="11.57421875" style="6" customWidth="1"/>
  </cols>
  <sheetData>
    <row r="1" spans="1:10" ht="45.75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7" ht="45.75">
      <c r="A2" s="14"/>
      <c r="B2" s="14"/>
      <c r="C2" s="14"/>
      <c r="D2" s="14"/>
      <c r="E2" s="14"/>
      <c r="F2" s="14"/>
      <c r="G2" s="14"/>
      <c r="H2" s="14"/>
      <c r="I2" s="14"/>
      <c r="J2" s="14"/>
      <c r="Q2" s="9">
        <v>42979</v>
      </c>
    </row>
    <row r="3" spans="1:18" ht="45.75">
      <c r="A3" s="14"/>
      <c r="B3" s="22"/>
      <c r="C3" s="22" t="s">
        <v>30</v>
      </c>
      <c r="D3" s="23">
        <f>IF(Etude_Reclassement!C6="","",Etude_Reclassement!C6)</f>
        <v>0</v>
      </c>
      <c r="E3" s="22"/>
      <c r="F3" s="22"/>
      <c r="G3" s="22"/>
      <c r="H3" s="22"/>
      <c r="I3" s="22"/>
      <c r="J3" s="14"/>
      <c r="K3" s="7" t="s">
        <v>46</v>
      </c>
      <c r="L3" s="7" t="s">
        <v>45</v>
      </c>
      <c r="M3" s="12" t="s">
        <v>19</v>
      </c>
      <c r="N3" s="12" t="s">
        <v>17</v>
      </c>
      <c r="O3" s="12" t="s">
        <v>18</v>
      </c>
      <c r="P3" s="8" t="s">
        <v>36</v>
      </c>
      <c r="Q3" s="8" t="s">
        <v>37</v>
      </c>
      <c r="R3" s="8" t="s">
        <v>38</v>
      </c>
    </row>
    <row r="4" spans="1:18" ht="45.75">
      <c r="A4" s="14"/>
      <c r="B4" s="22"/>
      <c r="C4" s="22"/>
      <c r="D4" s="23"/>
      <c r="E4" s="22"/>
      <c r="F4" s="22"/>
      <c r="G4" s="22"/>
      <c r="H4" s="22"/>
      <c r="I4" s="22"/>
      <c r="J4" s="14"/>
      <c r="K4" s="7" t="str">
        <f>IF(D3="","",IF(D3="Agrégé","Agr",IF(D3="CE_EPS","PEGC",IF(D3="CPE","CPE",IF(D3="Instituteur","Inst",IF(D3="Instituteur Mayotte","May",IF(D3="PEGC","PEGC","Cert")))))))</f>
        <v>Cert</v>
      </c>
      <c r="L4" s="7">
        <f>IF(D7="","",K6+D7)</f>
        <v>0</v>
      </c>
      <c r="M4" s="12" t="s">
        <v>24</v>
      </c>
      <c r="N4" s="12" t="s">
        <v>42</v>
      </c>
      <c r="O4" s="13">
        <v>1</v>
      </c>
      <c r="P4" s="7">
        <f>IF(G7="","",DATEDIF(G7,Q2,"y"))</f>
        <v>117</v>
      </c>
      <c r="Q4" s="7">
        <f>IF(G7="","",DATEDIF(G7,Q2,"ym"))</f>
        <v>8</v>
      </c>
      <c r="R4" s="7">
        <f>IF(G7="","",IF(DAY(G7)=1,0,DATEDIF(G7,Q2,"md")-1))</f>
        <v>0</v>
      </c>
    </row>
    <row r="5" spans="1:17" ht="45.75">
      <c r="A5" s="14"/>
      <c r="B5" s="22"/>
      <c r="C5" s="22" t="s">
        <v>31</v>
      </c>
      <c r="D5" s="23">
        <f>IF(Etude_Reclassement!G6="","",Etude_Reclassement!G6)</f>
        <v>0</v>
      </c>
      <c r="E5" s="22"/>
      <c r="F5" s="22"/>
      <c r="G5" s="22"/>
      <c r="H5" s="22"/>
      <c r="I5" s="22"/>
      <c r="J5" s="14"/>
      <c r="M5" s="12" t="s">
        <v>20</v>
      </c>
      <c r="N5" s="12" t="s">
        <v>43</v>
      </c>
      <c r="O5" s="13">
        <v>2</v>
      </c>
      <c r="Q5" s="7">
        <f>(P4*12)+Q4</f>
        <v>1412</v>
      </c>
    </row>
    <row r="6" spans="1:17" ht="45.75">
      <c r="A6" s="14"/>
      <c r="B6" s="22"/>
      <c r="C6" s="22"/>
      <c r="D6" s="23"/>
      <c r="E6" s="22"/>
      <c r="F6" s="22"/>
      <c r="G6" s="22"/>
      <c r="H6" s="22"/>
      <c r="I6" s="22"/>
      <c r="J6" s="14"/>
      <c r="K6" s="7">
        <f>IF(D5="CE",100,IF(D5="HC",20,0))</f>
        <v>0</v>
      </c>
      <c r="M6" s="12" t="s">
        <v>25</v>
      </c>
      <c r="N6" s="12" t="s">
        <v>44</v>
      </c>
      <c r="O6" s="13">
        <v>3</v>
      </c>
      <c r="P6" s="7" t="s">
        <v>40</v>
      </c>
      <c r="Q6" s="7">
        <f>Q5</f>
        <v>1412</v>
      </c>
    </row>
    <row r="7" spans="1:17" ht="45.75">
      <c r="A7" s="14"/>
      <c r="B7" s="22"/>
      <c r="C7" s="22" t="s">
        <v>32</v>
      </c>
      <c r="D7" s="23">
        <f>IF(Etude_Reclassement!C10="","",Etude_Reclassement!C10)</f>
        <v>0</v>
      </c>
      <c r="E7" s="22"/>
      <c r="F7" s="22" t="s">
        <v>33</v>
      </c>
      <c r="G7" s="25">
        <f>IF(Etude_Reclassement!G11="","",Etude_Reclassement!G11)</f>
        <v>0</v>
      </c>
      <c r="H7" s="23"/>
      <c r="I7" s="22"/>
      <c r="J7" s="14"/>
      <c r="M7" s="12" t="s">
        <v>22</v>
      </c>
      <c r="N7" s="12"/>
      <c r="O7" s="13">
        <v>4</v>
      </c>
      <c r="P7" s="7" t="s">
        <v>58</v>
      </c>
      <c r="Q7" s="7" t="e">
        <f>IF(K4="Agr",Agr!P18,IF(K4="Cert",Cert!P18,IF(K4="CPE",CPE!P18,IF(K4="PEGC",PEGC!P18,IF(K4="Inst",Inst!O18,IF(K4="May",May!O18,""))))))</f>
        <v>#N/A</v>
      </c>
    </row>
    <row r="8" spans="1:15" ht="45.75">
      <c r="A8" s="15"/>
      <c r="B8" s="23"/>
      <c r="C8" s="23"/>
      <c r="D8" s="23"/>
      <c r="E8" s="23"/>
      <c r="F8" s="23"/>
      <c r="G8" s="23"/>
      <c r="H8" s="23"/>
      <c r="I8" s="23"/>
      <c r="J8" s="15"/>
      <c r="M8" s="12" t="s">
        <v>23</v>
      </c>
      <c r="N8" s="12"/>
      <c r="O8" s="13">
        <v>5</v>
      </c>
    </row>
    <row r="9" spans="1:18" ht="45.75">
      <c r="A9" s="15"/>
      <c r="B9" s="104" t="s">
        <v>35</v>
      </c>
      <c r="C9" s="104"/>
      <c r="D9" s="104"/>
      <c r="E9" s="104"/>
      <c r="F9" s="104"/>
      <c r="G9" s="105" t="str">
        <f>IF(G7="","",CONCATENATE(P4," a ",Q4," m ",R4," j "))</f>
        <v>117 a 8 m 0 j </v>
      </c>
      <c r="H9" s="105"/>
      <c r="I9" s="23"/>
      <c r="J9" s="15"/>
      <c r="M9" s="12" t="s">
        <v>29</v>
      </c>
      <c r="N9" s="12"/>
      <c r="O9" s="13">
        <v>6</v>
      </c>
      <c r="Q9" s="7" t="s">
        <v>45</v>
      </c>
      <c r="R9" s="7" t="s">
        <v>50</v>
      </c>
    </row>
    <row r="10" spans="1:18" ht="45.75">
      <c r="A10" s="15"/>
      <c r="B10" s="23"/>
      <c r="C10" s="23"/>
      <c r="D10" s="23"/>
      <c r="E10" s="23"/>
      <c r="F10" s="23"/>
      <c r="G10" s="23"/>
      <c r="H10" s="23"/>
      <c r="I10" s="23"/>
      <c r="J10" s="15"/>
      <c r="M10" s="12" t="s">
        <v>21</v>
      </c>
      <c r="N10" s="12"/>
      <c r="O10" s="13">
        <v>7</v>
      </c>
      <c r="P10" s="7" t="s">
        <v>52</v>
      </c>
      <c r="Q10" s="8">
        <f>IF(K4="Agr",Agr!O18,"")</f>
      </c>
      <c r="R10" s="8">
        <f>IF(K4="Agr",IF(Q7=0," sans ancienneté ",IF(Q7=Q6,G9,CONCATENATE(P4," a ",Q4+3," m ",R4," j "))),"")</f>
      </c>
    </row>
    <row r="11" spans="1:18" ht="45.75">
      <c r="A11" s="15"/>
      <c r="B11" s="23"/>
      <c r="C11" s="23" t="s">
        <v>66</v>
      </c>
      <c r="D11" s="103" t="e">
        <f>IF(K4="Agr",Agr!I21,IF(K4="Cert",Cert!I21,IF(K4="CPE",CPE!O3,IF(K4="PEGC",PEGC!I21,IF(K4="Inst",Inst!H21,IF(K4="May",May!H21,""))))))</f>
        <v>#N/A</v>
      </c>
      <c r="E11" s="103"/>
      <c r="F11" s="23"/>
      <c r="G11" s="23"/>
      <c r="H11" s="23"/>
      <c r="I11" s="23"/>
      <c r="J11" s="15"/>
      <c r="M11" s="12" t="s">
        <v>27</v>
      </c>
      <c r="N11" s="12"/>
      <c r="O11" s="13">
        <v>8</v>
      </c>
      <c r="P11" s="7" t="s">
        <v>53</v>
      </c>
      <c r="Q11" s="7" t="e">
        <f>IF(K4="Cert",Cert!O18,"")</f>
        <v>#N/A</v>
      </c>
      <c r="R11" s="8" t="e">
        <f>IF(K4="Cert",IF(Q7=0," sans ancienneté ",IF(Q7=Q6,G9,CONCATENATE(P4," a ",Q4+3," m ",R4," j "))),"")</f>
        <v>#N/A</v>
      </c>
    </row>
    <row r="12" spans="1:18" ht="45.75">
      <c r="A12" s="15"/>
      <c r="B12" s="23"/>
      <c r="C12" s="23"/>
      <c r="D12" s="23"/>
      <c r="E12" s="23"/>
      <c r="F12" s="23"/>
      <c r="G12" s="23"/>
      <c r="H12" s="23"/>
      <c r="I12" s="23"/>
      <c r="J12" s="15"/>
      <c r="M12" s="12" t="s">
        <v>26</v>
      </c>
      <c r="N12" s="12"/>
      <c r="O12" s="13">
        <v>9</v>
      </c>
      <c r="P12" s="7" t="s">
        <v>22</v>
      </c>
      <c r="Q12" s="7">
        <f>IF(K4="CPE",CPE!O18,"")</f>
      </c>
      <c r="R12" s="8">
        <f>IF(K4="CPE",IF(Q7=0," sans ancienneté ",IF(Q7=Q6,G9,CONCATENATE(P4," a ",Q4+3," m ",R4," j "))),"")</f>
      </c>
    </row>
    <row r="13" spans="1:18" ht="45.75">
      <c r="A13" s="15"/>
      <c r="B13" s="23"/>
      <c r="C13" s="23"/>
      <c r="D13" s="23"/>
      <c r="E13" s="23"/>
      <c r="F13" s="23"/>
      <c r="G13" s="23"/>
      <c r="H13" s="23"/>
      <c r="I13" s="23"/>
      <c r="J13" s="15"/>
      <c r="M13" s="12" t="s">
        <v>28</v>
      </c>
      <c r="N13" s="12"/>
      <c r="O13" s="13">
        <v>10</v>
      </c>
      <c r="P13" s="7" t="s">
        <v>21</v>
      </c>
      <c r="Q13" s="7">
        <f>IF(K4="PEGC",PEGC!O18,"")</f>
      </c>
      <c r="R13" s="8">
        <f>IF(K4="PEGC",IF(Q7=0," sans ancienneté ",IF(Q7=Q6,G9,CONCATENATE(P4," a ",Q4+3," m ",R4," j "))),"")</f>
      </c>
    </row>
    <row r="14" spans="1:18" ht="45.75">
      <c r="A14" s="15"/>
      <c r="B14" s="23"/>
      <c r="C14" s="106" t="s">
        <v>56</v>
      </c>
      <c r="D14" s="107"/>
      <c r="E14" s="107"/>
      <c r="F14" s="107"/>
      <c r="G14" s="107"/>
      <c r="H14" s="107"/>
      <c r="I14" s="108"/>
      <c r="J14" s="15"/>
      <c r="M14" s="12" t="s">
        <v>62</v>
      </c>
      <c r="N14" s="12"/>
      <c r="O14" s="13">
        <v>11</v>
      </c>
      <c r="P14" s="7" t="s">
        <v>62</v>
      </c>
      <c r="Q14" s="7">
        <f>IF(K4="Inst",Inst!N19,"")</f>
      </c>
      <c r="R14" s="8">
        <f>IF(K4="Inst",IF(Q7=0," sans ancienneté ",IF(Q7=Q6,G9,CONCATENATE(P4," a ",Q4+3," m ",R4," j "))),"")</f>
      </c>
    </row>
    <row r="15" spans="1:18" ht="45.75">
      <c r="A15" s="15"/>
      <c r="B15" s="23"/>
      <c r="C15" s="23"/>
      <c r="D15" s="23"/>
      <c r="E15" s="23"/>
      <c r="F15" s="23"/>
      <c r="G15" s="23"/>
      <c r="H15" s="23"/>
      <c r="I15" s="23"/>
      <c r="J15" s="15"/>
      <c r="M15" s="12" t="s">
        <v>63</v>
      </c>
      <c r="N15" s="12"/>
      <c r="O15" s="13">
        <v>12</v>
      </c>
      <c r="P15" s="7" t="s">
        <v>63</v>
      </c>
      <c r="Q15" s="7">
        <f>IF(K4="May",May!N19,"")</f>
      </c>
      <c r="R15" s="8">
        <f>IF(K4="May",IF(Q7=0," sans ancienneté ",IF(Q7=Q6,G9,CONCATENATE(P4," a ",Q4+3," m ",R4," j "))),"")</f>
      </c>
    </row>
    <row r="16" spans="1:10" ht="45.75">
      <c r="A16" s="15"/>
      <c r="B16" s="23"/>
      <c r="C16" s="23"/>
      <c r="D16" s="23"/>
      <c r="E16" s="23"/>
      <c r="F16" s="23"/>
      <c r="G16" s="23"/>
      <c r="H16" s="23"/>
      <c r="I16" s="23"/>
      <c r="J16" s="15"/>
    </row>
    <row r="17" spans="1:10" ht="45.75">
      <c r="A17" s="15"/>
      <c r="B17" s="23"/>
      <c r="C17" s="23"/>
      <c r="D17" s="23"/>
      <c r="E17" s="105"/>
      <c r="F17" s="105"/>
      <c r="G17" s="105"/>
      <c r="H17" s="105"/>
      <c r="I17" s="23"/>
      <c r="J17" s="15"/>
    </row>
    <row r="18" spans="1:10" ht="45.75">
      <c r="A18" s="15"/>
      <c r="B18" s="23"/>
      <c r="C18" s="23"/>
      <c r="D18" s="23"/>
      <c r="E18" s="23"/>
      <c r="F18" s="23"/>
      <c r="G18" s="23"/>
      <c r="H18" s="23"/>
      <c r="I18" s="23"/>
      <c r="J18" s="15"/>
    </row>
    <row r="19" spans="1:10" ht="45.75">
      <c r="A19" s="15"/>
      <c r="B19" s="23"/>
      <c r="C19" s="23"/>
      <c r="D19" s="23"/>
      <c r="E19" s="23"/>
      <c r="F19" s="23"/>
      <c r="G19" s="23"/>
      <c r="H19" s="23"/>
      <c r="I19" s="23"/>
      <c r="J19" s="15"/>
    </row>
    <row r="20" spans="1:10" ht="45.75">
      <c r="A20" s="15"/>
      <c r="B20" s="23"/>
      <c r="C20" s="23"/>
      <c r="D20" s="23"/>
      <c r="E20" s="23" t="s">
        <v>31</v>
      </c>
      <c r="F20" s="103">
        <f>IF(D5="","",D5)</f>
        <v>0</v>
      </c>
      <c r="G20" s="103"/>
      <c r="H20" s="23"/>
      <c r="I20" s="23"/>
      <c r="J20" s="15"/>
    </row>
    <row r="21" spans="1:10" ht="45.75">
      <c r="A21" s="15"/>
      <c r="B21" s="23"/>
      <c r="C21" s="23"/>
      <c r="D21" s="23"/>
      <c r="E21" s="23"/>
      <c r="F21" s="23"/>
      <c r="G21" s="23"/>
      <c r="H21" s="23"/>
      <c r="I21" s="23"/>
      <c r="J21" s="15"/>
    </row>
    <row r="22" spans="1:10" ht="45.75">
      <c r="A22" s="15"/>
      <c r="B22" s="23"/>
      <c r="C22" s="23"/>
      <c r="D22" s="23"/>
      <c r="E22" s="23" t="s">
        <v>32</v>
      </c>
      <c r="F22" s="103" t="e">
        <f>IF(K4="Agr",Q10,IF(K4="Cert",Q11,IF(K4="CPE",Q12,IF(K4="PEGC",Q13,IF(K4="Inst",Q14,IF(K4="May",Q15,""))))))</f>
        <v>#N/A</v>
      </c>
      <c r="G22" s="103"/>
      <c r="H22" s="23"/>
      <c r="I22" s="23"/>
      <c r="J22" s="15"/>
    </row>
    <row r="23" spans="1:10" ht="45.75">
      <c r="A23" s="15"/>
      <c r="B23" s="23"/>
      <c r="C23" s="23"/>
      <c r="D23" s="23"/>
      <c r="E23" s="23"/>
      <c r="F23" s="23"/>
      <c r="G23" s="23"/>
      <c r="H23" s="23"/>
      <c r="I23" s="23"/>
      <c r="J23" s="15"/>
    </row>
    <row r="24" spans="1:10" ht="45.75">
      <c r="A24" s="15"/>
      <c r="B24" s="23"/>
      <c r="C24" s="23"/>
      <c r="D24" s="23"/>
      <c r="E24" s="23" t="s">
        <v>57</v>
      </c>
      <c r="F24" s="103" t="e">
        <f>IF(K4="Agr",R10,IF(K4="Cert",R11,IF(K4="CPE",R12,IF(K4="PEGC",R13,IF(K4="Inst",R14,IF(K4="May",R15,""))))))</f>
        <v>#N/A</v>
      </c>
      <c r="G24" s="103"/>
      <c r="H24" s="23"/>
      <c r="I24" s="23"/>
      <c r="J24" s="15"/>
    </row>
    <row r="25" spans="1:10" ht="45.75">
      <c r="A25" s="15"/>
      <c r="B25" s="23"/>
      <c r="C25" s="23"/>
      <c r="D25" s="23"/>
      <c r="E25" s="23"/>
      <c r="F25" s="23"/>
      <c r="G25" s="23"/>
      <c r="H25" s="23"/>
      <c r="I25" s="23"/>
      <c r="J25" s="15"/>
    </row>
    <row r="26" spans="1:10" ht="45.75">
      <c r="A26" s="15"/>
      <c r="B26" s="15"/>
      <c r="C26" s="15"/>
      <c r="D26" s="15"/>
      <c r="E26" s="23" t="s">
        <v>66</v>
      </c>
      <c r="F26" s="103" t="e">
        <f>IF(K4="Agr",Agr!Q18,IF(K4="Cert",Cert!Q18,IF(K4="CPE",CPE!Q18,IF(K4="PEGC",PEGC!Q18,IF(K4="Inst",Inst!P18,IF(K4="May",May!P18,""))))))</f>
        <v>#N/A</v>
      </c>
      <c r="G26" s="103"/>
      <c r="H26" s="15"/>
      <c r="I26" s="15"/>
      <c r="J26" s="15"/>
    </row>
    <row r="27" spans="1:10" ht="45.75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18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8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8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8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18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8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8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8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8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8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8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8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8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8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8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8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8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8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8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8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8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8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8">
      <c r="A50" s="7"/>
      <c r="B50" s="7"/>
      <c r="C50" s="7"/>
      <c r="D50" s="7"/>
      <c r="E50" s="7"/>
      <c r="F50" s="7"/>
      <c r="G50" s="7"/>
      <c r="H50" s="7"/>
      <c r="I50" s="7"/>
      <c r="J50" s="7"/>
    </row>
    <row r="55" ht="18">
      <c r="N55" s="8">
        <f>O57</f>
        <v>0</v>
      </c>
    </row>
  </sheetData>
  <sheetProtection password="DB59" sheet="1"/>
  <mergeCells count="9">
    <mergeCell ref="F26:G26"/>
    <mergeCell ref="F24:G24"/>
    <mergeCell ref="B9:F9"/>
    <mergeCell ref="G9:H9"/>
    <mergeCell ref="C14:I14"/>
    <mergeCell ref="E17:H17"/>
    <mergeCell ref="F20:G20"/>
    <mergeCell ref="F22:G22"/>
    <mergeCell ref="D11:E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2">
      <selection activeCell="H24" sqref="H24"/>
    </sheetView>
  </sheetViews>
  <sheetFormatPr defaultColWidth="11.421875" defaultRowHeight="15"/>
  <cols>
    <col min="1" max="1" width="17.57421875" style="0" customWidth="1"/>
    <col min="2" max="2" width="16.00390625" style="0" customWidth="1"/>
    <col min="3" max="3" width="32.28125" style="0" customWidth="1"/>
    <col min="5" max="6" width="17.421875" style="0" customWidth="1"/>
    <col min="7" max="7" width="11.421875" style="27" customWidth="1"/>
    <col min="8" max="8" width="11.8515625" style="27" customWidth="1"/>
    <col min="16" max="16" width="12.28125" style="0" bestFit="1" customWidth="1"/>
  </cols>
  <sheetData>
    <row r="1" spans="1:8" ht="30.75" customHeight="1">
      <c r="A1" s="112" t="s">
        <v>0</v>
      </c>
      <c r="B1" s="111" t="s">
        <v>10</v>
      </c>
      <c r="C1" s="111" t="s">
        <v>11</v>
      </c>
      <c r="D1" s="114" t="s">
        <v>54</v>
      </c>
      <c r="E1" s="112" t="s">
        <v>1</v>
      </c>
      <c r="F1" s="109" t="s">
        <v>39</v>
      </c>
      <c r="G1" s="109" t="s">
        <v>64</v>
      </c>
      <c r="H1" s="109" t="s">
        <v>75</v>
      </c>
    </row>
    <row r="2" spans="1:8" ht="15" customHeight="1">
      <c r="A2" s="113"/>
      <c r="B2" s="111"/>
      <c r="C2" s="111"/>
      <c r="D2" s="115"/>
      <c r="E2" s="113"/>
      <c r="F2" s="110"/>
      <c r="G2" s="110"/>
      <c r="H2" s="110"/>
    </row>
    <row r="3" spans="1:8" ht="15" customHeight="1">
      <c r="A3" s="1">
        <v>1</v>
      </c>
      <c r="B3" s="1">
        <v>1</v>
      </c>
      <c r="C3" s="2" t="s">
        <v>12</v>
      </c>
      <c r="D3" s="2">
        <v>1</v>
      </c>
      <c r="E3" s="1" t="s">
        <v>4</v>
      </c>
      <c r="F3" s="1">
        <v>12</v>
      </c>
      <c r="G3" s="26">
        <v>325</v>
      </c>
      <c r="H3" s="26">
        <v>325</v>
      </c>
    </row>
    <row r="4" spans="1:8" ht="15" customHeight="1">
      <c r="A4" s="1">
        <v>2</v>
      </c>
      <c r="B4" s="1">
        <v>2</v>
      </c>
      <c r="C4" s="2" t="s">
        <v>12</v>
      </c>
      <c r="D4" s="2">
        <v>1</v>
      </c>
      <c r="E4" s="1" t="s">
        <v>8</v>
      </c>
      <c r="F4" s="1">
        <v>18</v>
      </c>
      <c r="G4" s="26">
        <v>343</v>
      </c>
      <c r="H4" s="26">
        <v>343</v>
      </c>
    </row>
    <row r="5" spans="1:8" ht="15" customHeight="1">
      <c r="A5" s="1">
        <v>3</v>
      </c>
      <c r="B5" s="1">
        <v>3</v>
      </c>
      <c r="C5" s="2" t="s">
        <v>12</v>
      </c>
      <c r="D5" s="2">
        <v>1</v>
      </c>
      <c r="E5" s="1" t="s">
        <v>8</v>
      </c>
      <c r="F5" s="1">
        <v>18</v>
      </c>
      <c r="G5" s="26">
        <v>363</v>
      </c>
      <c r="H5" s="26">
        <v>363</v>
      </c>
    </row>
    <row r="6" spans="1:8" ht="15" customHeight="1">
      <c r="A6" s="1">
        <v>4</v>
      </c>
      <c r="B6" s="1">
        <v>4</v>
      </c>
      <c r="C6" s="2" t="s">
        <v>12</v>
      </c>
      <c r="D6" s="2">
        <v>1</v>
      </c>
      <c r="E6" s="1" t="s">
        <v>3</v>
      </c>
      <c r="F6" s="1">
        <v>30</v>
      </c>
      <c r="G6" s="26">
        <v>380</v>
      </c>
      <c r="H6" s="26">
        <v>380</v>
      </c>
    </row>
    <row r="7" spans="1:8" ht="15" customHeight="1">
      <c r="A7" s="1">
        <v>5</v>
      </c>
      <c r="B7" s="1">
        <v>5</v>
      </c>
      <c r="C7" s="2" t="s">
        <v>12</v>
      </c>
      <c r="D7" s="2">
        <v>1</v>
      </c>
      <c r="E7" s="1" t="s">
        <v>5</v>
      </c>
      <c r="F7" s="1">
        <v>36</v>
      </c>
      <c r="G7" s="26">
        <v>398</v>
      </c>
      <c r="H7" s="26">
        <v>398</v>
      </c>
    </row>
    <row r="8" spans="1:8" ht="15" customHeight="1">
      <c r="A8" s="1">
        <v>6</v>
      </c>
      <c r="B8" s="1">
        <v>6</v>
      </c>
      <c r="C8" s="2" t="s">
        <v>12</v>
      </c>
      <c r="D8" s="2">
        <v>1</v>
      </c>
      <c r="E8" s="1" t="s">
        <v>5</v>
      </c>
      <c r="F8" s="1">
        <v>36</v>
      </c>
      <c r="G8" s="26">
        <v>419</v>
      </c>
      <c r="H8" s="26">
        <v>419</v>
      </c>
    </row>
    <row r="9" spans="1:8" ht="15" customHeight="1">
      <c r="A9" s="1">
        <v>7</v>
      </c>
      <c r="B9" s="1">
        <v>7</v>
      </c>
      <c r="C9" s="2" t="s">
        <v>12</v>
      </c>
      <c r="D9" s="2">
        <v>1</v>
      </c>
      <c r="E9" s="1" t="s">
        <v>5</v>
      </c>
      <c r="F9" s="1">
        <v>36</v>
      </c>
      <c r="G9" s="26">
        <v>438</v>
      </c>
      <c r="H9" s="26">
        <v>438</v>
      </c>
    </row>
    <row r="10" spans="1:8" ht="15" customHeight="1">
      <c r="A10" s="1">
        <v>8</v>
      </c>
      <c r="B10" s="1">
        <v>8</v>
      </c>
      <c r="C10" s="2" t="s">
        <v>12</v>
      </c>
      <c r="D10" s="2">
        <v>1</v>
      </c>
      <c r="E10" s="1" t="s">
        <v>7</v>
      </c>
      <c r="F10" s="1">
        <v>42</v>
      </c>
      <c r="G10" s="26">
        <v>462</v>
      </c>
      <c r="H10" s="26">
        <v>462</v>
      </c>
    </row>
    <row r="11" spans="1:8" ht="15" customHeight="1">
      <c r="A11" s="1">
        <v>9</v>
      </c>
      <c r="B11" s="1">
        <v>9</v>
      </c>
      <c r="C11" s="2" t="s">
        <v>12</v>
      </c>
      <c r="D11" s="2">
        <v>1</v>
      </c>
      <c r="E11" s="1" t="s">
        <v>7</v>
      </c>
      <c r="F11" s="1">
        <v>42</v>
      </c>
      <c r="G11" s="26">
        <v>486</v>
      </c>
      <c r="H11" s="26">
        <v>486</v>
      </c>
    </row>
    <row r="12" spans="1:8" ht="15" customHeight="1">
      <c r="A12" s="1">
        <v>10</v>
      </c>
      <c r="B12" s="1">
        <v>10</v>
      </c>
      <c r="C12" s="2" t="s">
        <v>12</v>
      </c>
      <c r="D12" s="2">
        <v>1</v>
      </c>
      <c r="E12" s="1" t="s">
        <v>7</v>
      </c>
      <c r="F12" s="1">
        <v>42</v>
      </c>
      <c r="G12" s="26">
        <v>515</v>
      </c>
      <c r="H12" s="26">
        <v>515</v>
      </c>
    </row>
    <row r="13" spans="1:8" ht="15" customHeight="1">
      <c r="A13" s="1">
        <v>11</v>
      </c>
      <c r="B13" s="1">
        <v>11</v>
      </c>
      <c r="C13" s="2" t="s">
        <v>12</v>
      </c>
      <c r="D13" s="2">
        <v>1</v>
      </c>
      <c r="E13" s="1" t="s">
        <v>2</v>
      </c>
      <c r="F13" s="1">
        <v>0</v>
      </c>
      <c r="G13" s="26">
        <v>544</v>
      </c>
      <c r="H13" s="26">
        <v>544</v>
      </c>
    </row>
    <row r="14" spans="1:8" ht="15" customHeight="1">
      <c r="A14" s="1">
        <v>21</v>
      </c>
      <c r="B14" s="1">
        <v>1</v>
      </c>
      <c r="C14" s="2" t="s">
        <v>12</v>
      </c>
      <c r="D14" s="2">
        <v>1</v>
      </c>
      <c r="E14" s="1" t="s">
        <v>6</v>
      </c>
      <c r="F14" s="1">
        <v>24</v>
      </c>
      <c r="G14" s="26">
        <v>461</v>
      </c>
      <c r="H14" s="26">
        <v>461</v>
      </c>
    </row>
    <row r="15" spans="1:8" ht="15" customHeight="1">
      <c r="A15" s="1">
        <v>22</v>
      </c>
      <c r="B15" s="1">
        <v>2</v>
      </c>
      <c r="C15" s="2" t="s">
        <v>12</v>
      </c>
      <c r="D15" s="2">
        <v>1</v>
      </c>
      <c r="E15" s="1" t="s">
        <v>5</v>
      </c>
      <c r="F15" s="1">
        <v>36</v>
      </c>
      <c r="G15" s="26">
        <v>485</v>
      </c>
      <c r="H15" s="26">
        <v>485</v>
      </c>
    </row>
    <row r="16" spans="1:8" ht="15" customHeight="1">
      <c r="A16" s="1">
        <v>23</v>
      </c>
      <c r="B16" s="1">
        <v>3</v>
      </c>
      <c r="C16" s="2" t="s">
        <v>12</v>
      </c>
      <c r="D16" s="2">
        <v>1</v>
      </c>
      <c r="E16" s="1" t="s">
        <v>5</v>
      </c>
      <c r="F16" s="1">
        <v>36</v>
      </c>
      <c r="G16" s="26">
        <v>514</v>
      </c>
      <c r="H16" s="26">
        <v>514</v>
      </c>
    </row>
    <row r="17" spans="1:17" ht="15" customHeight="1">
      <c r="A17" s="1">
        <v>24</v>
      </c>
      <c r="B17" s="1">
        <v>4</v>
      </c>
      <c r="C17" s="2" t="s">
        <v>12</v>
      </c>
      <c r="D17" s="2">
        <v>1</v>
      </c>
      <c r="E17" s="1" t="s">
        <v>5</v>
      </c>
      <c r="F17" s="1">
        <v>36</v>
      </c>
      <c r="G17" s="26">
        <v>543</v>
      </c>
      <c r="H17" s="26">
        <v>543</v>
      </c>
      <c r="I17" t="s">
        <v>45</v>
      </c>
      <c r="J17" t="s">
        <v>54</v>
      </c>
      <c r="K17" t="s">
        <v>48</v>
      </c>
      <c r="M17" t="s">
        <v>47</v>
      </c>
      <c r="N17" t="s">
        <v>50</v>
      </c>
      <c r="O17" t="s">
        <v>49</v>
      </c>
      <c r="P17" t="s">
        <v>51</v>
      </c>
      <c r="Q17" t="s">
        <v>65</v>
      </c>
    </row>
    <row r="18" spans="1:17" ht="15" customHeight="1">
      <c r="A18" s="1">
        <v>25</v>
      </c>
      <c r="B18" s="1">
        <v>5</v>
      </c>
      <c r="C18" s="2" t="s">
        <v>12</v>
      </c>
      <c r="D18" s="2">
        <v>1</v>
      </c>
      <c r="E18" s="1" t="s">
        <v>5</v>
      </c>
      <c r="F18" s="1">
        <v>36</v>
      </c>
      <c r="G18" s="26">
        <v>616</v>
      </c>
      <c r="H18" s="26">
        <v>616</v>
      </c>
      <c r="I18">
        <f>IF(Reclassement!K4="PEGC",Reclassement!L4,"")</f>
      </c>
      <c r="J18" t="e">
        <f>LOOKUP(I18,A3:A24,D3:D24)</f>
        <v>#N/A</v>
      </c>
      <c r="K18" t="e">
        <f>LOOKUP(I18,A3:A24,B3:B24)</f>
        <v>#N/A</v>
      </c>
      <c r="L18" t="e">
        <f>IF(I18&lt;20,K18,IF(I18&lt;100,20+K18,100+K18))</f>
        <v>#N/A</v>
      </c>
      <c r="M18" t="e">
        <f>LOOKUP(L18,A3:A24,F3:F24)</f>
        <v>#N/A</v>
      </c>
      <c r="N18">
        <f>Reclassement!Q6</f>
        <v>1412</v>
      </c>
      <c r="O18" t="e">
        <f>IF(M18=0,K18,IF(N18&gt;=M18,K18+1,K18))</f>
        <v>#N/A</v>
      </c>
      <c r="P18" t="e">
        <f>IF(OR(O18&gt;K18,J18=0),0,IF(J18=2,N18+3,N18))</f>
        <v>#N/A</v>
      </c>
      <c r="Q18" t="e">
        <f>LOOKUP(O19,A3:A24,G3:G24)</f>
        <v>#N/A</v>
      </c>
    </row>
    <row r="19" spans="1:15" ht="15" customHeight="1">
      <c r="A19" s="1">
        <v>26</v>
      </c>
      <c r="B19" s="1">
        <v>6</v>
      </c>
      <c r="C19" s="2" t="s">
        <v>12</v>
      </c>
      <c r="D19" s="2">
        <v>1</v>
      </c>
      <c r="E19" s="1" t="s">
        <v>2</v>
      </c>
      <c r="F19" s="1">
        <v>0</v>
      </c>
      <c r="G19" s="26">
        <v>662</v>
      </c>
      <c r="H19" s="26">
        <v>662</v>
      </c>
      <c r="O19" s="21" t="e">
        <f>IF(I18&lt;20,O18,IF(I18&lt;100,20+O18,100+O18))</f>
        <v>#N/A</v>
      </c>
    </row>
    <row r="20" spans="1:9" ht="15" customHeight="1">
      <c r="A20" s="1">
        <v>101</v>
      </c>
      <c r="B20" s="1">
        <v>1</v>
      </c>
      <c r="C20" s="2" t="s">
        <v>12</v>
      </c>
      <c r="D20" s="2">
        <v>1</v>
      </c>
      <c r="E20" s="1" t="s">
        <v>4</v>
      </c>
      <c r="F20" s="1">
        <v>12</v>
      </c>
      <c r="G20" s="26">
        <v>616</v>
      </c>
      <c r="H20" s="26">
        <v>616</v>
      </c>
      <c r="I20" t="s">
        <v>76</v>
      </c>
    </row>
    <row r="21" spans="1:9" ht="15" customHeight="1">
      <c r="A21" s="1">
        <v>102</v>
      </c>
      <c r="B21" s="1">
        <v>2</v>
      </c>
      <c r="C21" s="2" t="s">
        <v>12</v>
      </c>
      <c r="D21" s="2">
        <v>1</v>
      </c>
      <c r="E21" s="1" t="s">
        <v>3</v>
      </c>
      <c r="F21" s="1">
        <v>30</v>
      </c>
      <c r="G21" s="26">
        <v>668</v>
      </c>
      <c r="H21" s="26">
        <v>668</v>
      </c>
      <c r="I21" t="e">
        <f>LOOKUP(I18,A3:A24,H3:H24)</f>
        <v>#N/A</v>
      </c>
    </row>
    <row r="22" spans="1:8" ht="15" customHeight="1">
      <c r="A22" s="1">
        <v>103</v>
      </c>
      <c r="B22" s="1">
        <v>3</v>
      </c>
      <c r="C22" s="2" t="s">
        <v>12</v>
      </c>
      <c r="D22" s="2">
        <v>1</v>
      </c>
      <c r="E22" s="1" t="s">
        <v>3</v>
      </c>
      <c r="F22" s="1">
        <v>30</v>
      </c>
      <c r="G22" s="26">
        <v>705</v>
      </c>
      <c r="H22" s="26">
        <v>705</v>
      </c>
    </row>
    <row r="23" spans="1:8" ht="15" customHeight="1">
      <c r="A23" s="1">
        <v>104</v>
      </c>
      <c r="B23" s="1">
        <v>4</v>
      </c>
      <c r="C23" s="2" t="s">
        <v>12</v>
      </c>
      <c r="D23" s="2">
        <v>1</v>
      </c>
      <c r="E23" s="1" t="s">
        <v>3</v>
      </c>
      <c r="F23" s="1">
        <v>30</v>
      </c>
      <c r="G23" s="26">
        <v>751</v>
      </c>
      <c r="H23" s="26">
        <v>751</v>
      </c>
    </row>
    <row r="24" spans="1:8" ht="15" customHeight="1">
      <c r="A24" s="1">
        <v>105</v>
      </c>
      <c r="B24" s="1">
        <v>5</v>
      </c>
      <c r="C24" s="2" t="s">
        <v>12</v>
      </c>
      <c r="D24" s="2">
        <v>1</v>
      </c>
      <c r="E24" s="1" t="s">
        <v>2</v>
      </c>
      <c r="F24" s="1">
        <v>0</v>
      </c>
      <c r="G24" s="26">
        <v>793</v>
      </c>
      <c r="H24" s="26">
        <v>793</v>
      </c>
    </row>
  </sheetData>
  <sheetProtection password="DB59" sheet="1"/>
  <mergeCells count="8">
    <mergeCell ref="H1:H2"/>
    <mergeCell ref="G1:G2"/>
    <mergeCell ref="B1:B2"/>
    <mergeCell ref="C1:C2"/>
    <mergeCell ref="F1:F2"/>
    <mergeCell ref="A1:A2"/>
    <mergeCell ref="E1:E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C1">
      <selection activeCell="N19" sqref="N19"/>
    </sheetView>
  </sheetViews>
  <sheetFormatPr defaultColWidth="11.421875" defaultRowHeight="15"/>
  <cols>
    <col min="1" max="1" width="17.57421875" style="0" customWidth="1"/>
    <col min="2" max="2" width="16.00390625" style="0" customWidth="1"/>
    <col min="3" max="3" width="32.28125" style="0" customWidth="1"/>
    <col min="5" max="6" width="17.421875" style="0" customWidth="1"/>
    <col min="8" max="8" width="12.7109375" style="0" customWidth="1"/>
    <col min="15" max="15" width="12.28125" style="0" bestFit="1" customWidth="1"/>
  </cols>
  <sheetData>
    <row r="1" spans="1:8" ht="30.75" customHeight="1">
      <c r="A1" s="112" t="s">
        <v>0</v>
      </c>
      <c r="B1" s="111" t="s">
        <v>10</v>
      </c>
      <c r="C1" s="111" t="s">
        <v>11</v>
      </c>
      <c r="D1" s="114" t="s">
        <v>54</v>
      </c>
      <c r="E1" s="112" t="s">
        <v>1</v>
      </c>
      <c r="F1" s="112" t="s">
        <v>1</v>
      </c>
      <c r="G1" s="109" t="s">
        <v>64</v>
      </c>
      <c r="H1" s="109" t="s">
        <v>75</v>
      </c>
    </row>
    <row r="2" spans="1:8" ht="15" customHeight="1">
      <c r="A2" s="113"/>
      <c r="B2" s="111"/>
      <c r="C2" s="111"/>
      <c r="D2" s="115"/>
      <c r="E2" s="113"/>
      <c r="F2" s="113"/>
      <c r="G2" s="110"/>
      <c r="H2" s="110"/>
    </row>
    <row r="3" spans="1:8" ht="15" customHeight="1">
      <c r="A3" s="1">
        <v>1</v>
      </c>
      <c r="B3" s="1">
        <v>1</v>
      </c>
      <c r="C3" s="2" t="s">
        <v>12</v>
      </c>
      <c r="D3" s="2">
        <v>1</v>
      </c>
      <c r="E3" s="1" t="s">
        <v>13</v>
      </c>
      <c r="F3" s="1">
        <v>9</v>
      </c>
      <c r="G3" s="26">
        <v>349</v>
      </c>
      <c r="H3" s="26">
        <v>349</v>
      </c>
    </row>
    <row r="4" spans="1:8" ht="15" customHeight="1">
      <c r="A4" s="1">
        <v>2</v>
      </c>
      <c r="B4" s="1">
        <v>2</v>
      </c>
      <c r="C4" s="2" t="s">
        <v>12</v>
      </c>
      <c r="D4" s="2">
        <v>1</v>
      </c>
      <c r="E4" s="1" t="s">
        <v>13</v>
      </c>
      <c r="F4" s="1">
        <v>9</v>
      </c>
      <c r="G4" s="26">
        <v>365</v>
      </c>
      <c r="H4" s="26">
        <v>365</v>
      </c>
    </row>
    <row r="5" spans="1:8" ht="15" customHeight="1">
      <c r="A5" s="1">
        <v>3</v>
      </c>
      <c r="B5" s="1">
        <v>3</v>
      </c>
      <c r="C5" s="2" t="s">
        <v>12</v>
      </c>
      <c r="D5" s="2">
        <v>1</v>
      </c>
      <c r="E5" s="1" t="s">
        <v>4</v>
      </c>
      <c r="F5" s="1">
        <v>12</v>
      </c>
      <c r="G5" s="26">
        <v>374</v>
      </c>
      <c r="H5" s="26">
        <v>374</v>
      </c>
    </row>
    <row r="6" spans="1:8" ht="15" customHeight="1">
      <c r="A6" s="1">
        <v>4</v>
      </c>
      <c r="B6" s="1">
        <v>4</v>
      </c>
      <c r="C6" s="2" t="s">
        <v>12</v>
      </c>
      <c r="D6" s="2">
        <v>1</v>
      </c>
      <c r="E6" s="1" t="s">
        <v>8</v>
      </c>
      <c r="F6" s="1">
        <v>18</v>
      </c>
      <c r="G6" s="26">
        <v>381</v>
      </c>
      <c r="H6" s="26">
        <v>381</v>
      </c>
    </row>
    <row r="7" spans="1:8" ht="15" customHeight="1">
      <c r="A7" s="1">
        <v>5</v>
      </c>
      <c r="B7" s="1">
        <v>5</v>
      </c>
      <c r="C7" s="2" t="s">
        <v>12</v>
      </c>
      <c r="D7" s="2">
        <v>1</v>
      </c>
      <c r="E7" s="1" t="s">
        <v>8</v>
      </c>
      <c r="F7" s="1">
        <v>18</v>
      </c>
      <c r="G7" s="26">
        <v>391</v>
      </c>
      <c r="H7" s="26">
        <v>391</v>
      </c>
    </row>
    <row r="8" spans="1:8" ht="15" customHeight="1">
      <c r="A8" s="1">
        <v>6</v>
      </c>
      <c r="B8" s="1">
        <v>6</v>
      </c>
      <c r="C8" s="2" t="s">
        <v>12</v>
      </c>
      <c r="D8" s="2">
        <v>1</v>
      </c>
      <c r="E8" s="1" t="s">
        <v>8</v>
      </c>
      <c r="F8" s="1">
        <v>18</v>
      </c>
      <c r="G8" s="26">
        <v>398</v>
      </c>
      <c r="H8" s="26">
        <v>398</v>
      </c>
    </row>
    <row r="9" spans="1:8" ht="15" customHeight="1">
      <c r="A9" s="1">
        <v>7</v>
      </c>
      <c r="B9" s="1">
        <v>7</v>
      </c>
      <c r="C9" s="2" t="s">
        <v>12</v>
      </c>
      <c r="D9" s="2">
        <v>1</v>
      </c>
      <c r="E9" s="1" t="s">
        <v>5</v>
      </c>
      <c r="F9" s="1">
        <v>36</v>
      </c>
      <c r="G9" s="26">
        <v>407</v>
      </c>
      <c r="H9" s="26">
        <v>407</v>
      </c>
    </row>
    <row r="10" spans="1:8" ht="15" customHeight="1">
      <c r="A10" s="1">
        <v>8</v>
      </c>
      <c r="B10" s="1">
        <v>8</v>
      </c>
      <c r="C10" s="2" t="s">
        <v>12</v>
      </c>
      <c r="D10" s="2">
        <v>1</v>
      </c>
      <c r="E10" s="1" t="s">
        <v>7</v>
      </c>
      <c r="F10" s="1">
        <v>42</v>
      </c>
      <c r="G10" s="26">
        <v>428</v>
      </c>
      <c r="H10" s="26">
        <v>428</v>
      </c>
    </row>
    <row r="11" spans="1:8" ht="15" customHeight="1">
      <c r="A11" s="1">
        <v>9</v>
      </c>
      <c r="B11" s="1">
        <v>9</v>
      </c>
      <c r="C11" s="2" t="s">
        <v>12</v>
      </c>
      <c r="D11" s="2">
        <v>1</v>
      </c>
      <c r="E11" s="1" t="s">
        <v>9</v>
      </c>
      <c r="F11" s="1">
        <v>48</v>
      </c>
      <c r="G11" s="26">
        <v>449</v>
      </c>
      <c r="H11" s="26">
        <v>449</v>
      </c>
    </row>
    <row r="12" spans="1:8" ht="15" customHeight="1">
      <c r="A12" s="1">
        <v>10</v>
      </c>
      <c r="B12" s="1">
        <v>10</v>
      </c>
      <c r="C12" s="2" t="s">
        <v>12</v>
      </c>
      <c r="D12" s="2">
        <v>1</v>
      </c>
      <c r="E12" s="1" t="s">
        <v>9</v>
      </c>
      <c r="F12" s="1">
        <v>48</v>
      </c>
      <c r="G12" s="26">
        <v>479</v>
      </c>
      <c r="H12" s="26">
        <v>479</v>
      </c>
    </row>
    <row r="13" spans="1:8" ht="15" customHeight="1">
      <c r="A13" s="1">
        <v>11</v>
      </c>
      <c r="B13" s="1">
        <v>11</v>
      </c>
      <c r="C13" s="2" t="s">
        <v>12</v>
      </c>
      <c r="D13" s="2">
        <v>1</v>
      </c>
      <c r="E13" s="1" t="s">
        <v>2</v>
      </c>
      <c r="F13" s="1">
        <v>0</v>
      </c>
      <c r="G13" s="26">
        <v>523</v>
      </c>
      <c r="H13" s="26">
        <v>523</v>
      </c>
    </row>
    <row r="14" ht="15">
      <c r="D14" s="24"/>
    </row>
    <row r="15" ht="15">
      <c r="D15" s="24"/>
    </row>
    <row r="16" ht="15">
      <c r="D16" s="24"/>
    </row>
    <row r="17" spans="8:16" ht="15">
      <c r="H17" t="s">
        <v>45</v>
      </c>
      <c r="I17" t="s">
        <v>54</v>
      </c>
      <c r="J17" t="s">
        <v>48</v>
      </c>
      <c r="L17" t="s">
        <v>47</v>
      </c>
      <c r="M17" t="s">
        <v>50</v>
      </c>
      <c r="N17" t="s">
        <v>49</v>
      </c>
      <c r="O17" t="s">
        <v>51</v>
      </c>
      <c r="P17" t="s">
        <v>65</v>
      </c>
    </row>
    <row r="18" spans="8:16" ht="15">
      <c r="H18" s="21">
        <f>IF(Reclassement!K4="Inst",Reclassement!L4,"")</f>
      </c>
      <c r="I18" s="21" t="e">
        <f>LOOKUP(H18,A3:A22,D3:D22)</f>
        <v>#N/A</v>
      </c>
      <c r="J18" s="21" t="e">
        <f>LOOKUP(H18,A3:A22,B3:B22)</f>
        <v>#N/A</v>
      </c>
      <c r="K18" s="21" t="e">
        <f>IF(H18&lt;20,J18,IF(H18&lt;100,20+J18,100+J18))</f>
        <v>#N/A</v>
      </c>
      <c r="L18" s="21" t="e">
        <f>LOOKUP(K18,A3:A22,F3:F22)</f>
        <v>#N/A</v>
      </c>
      <c r="M18" s="21">
        <f>Reclassement!Q6</f>
        <v>1412</v>
      </c>
      <c r="N18" s="21" t="e">
        <f>IF(L18=0,J18,IF(M18&gt;=L18,J18+1,J18))</f>
        <v>#N/A</v>
      </c>
      <c r="O18" s="21" t="e">
        <f>IF(OR(N18&gt;J18,I18=0),0,IF(I18=2,M18+3,M18))</f>
        <v>#N/A</v>
      </c>
      <c r="P18" t="e">
        <f>LOOKUP(N19,A3:A13,G3:G13)</f>
        <v>#N/A</v>
      </c>
    </row>
    <row r="19" ht="15">
      <c r="N19" s="21" t="e">
        <f>IF(H18&lt;20,N18,IF(H18&lt;100,20+N18,100+N18))</f>
        <v>#N/A</v>
      </c>
    </row>
    <row r="20" ht="15">
      <c r="H20" t="s">
        <v>76</v>
      </c>
    </row>
    <row r="21" ht="15">
      <c r="H21" t="e">
        <f>LOOKUP(H18,A3:A13,H3:H13)</f>
        <v>#N/A</v>
      </c>
    </row>
  </sheetData>
  <sheetProtection password="DB59" sheet="1"/>
  <mergeCells count="8">
    <mergeCell ref="H1:H2"/>
    <mergeCell ref="G1:G2"/>
    <mergeCell ref="B1:B2"/>
    <mergeCell ref="C1:C2"/>
    <mergeCell ref="A1:A2"/>
    <mergeCell ref="E1:E2"/>
    <mergeCell ref="F1:F2"/>
    <mergeCell ref="D1:D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G24" sqref="G24"/>
    </sheetView>
  </sheetViews>
  <sheetFormatPr defaultColWidth="11.421875" defaultRowHeight="15"/>
  <cols>
    <col min="1" max="1" width="17.57421875" style="0" customWidth="1"/>
    <col min="2" max="2" width="16.00390625" style="0" customWidth="1"/>
    <col min="3" max="3" width="42.7109375" style="0" customWidth="1"/>
    <col min="5" max="6" width="17.421875" style="0" customWidth="1"/>
    <col min="8" max="8" width="12.140625" style="0" customWidth="1"/>
    <col min="16" max="16" width="12.28125" style="0" bestFit="1" customWidth="1"/>
  </cols>
  <sheetData>
    <row r="1" spans="1:8" ht="30.75" customHeight="1">
      <c r="A1" s="112" t="s">
        <v>0</v>
      </c>
      <c r="B1" s="111" t="s">
        <v>10</v>
      </c>
      <c r="C1" s="111" t="s">
        <v>11</v>
      </c>
      <c r="D1" s="114" t="s">
        <v>54</v>
      </c>
      <c r="E1" s="112" t="s">
        <v>1</v>
      </c>
      <c r="F1" s="112" t="s">
        <v>1</v>
      </c>
      <c r="G1" s="109" t="s">
        <v>64</v>
      </c>
      <c r="H1" s="109" t="s">
        <v>75</v>
      </c>
    </row>
    <row r="2" spans="1:8" ht="15" customHeight="1">
      <c r="A2" s="113"/>
      <c r="B2" s="111"/>
      <c r="C2" s="111"/>
      <c r="D2" s="115"/>
      <c r="E2" s="113"/>
      <c r="F2" s="113"/>
      <c r="G2" s="110"/>
      <c r="H2" s="110"/>
    </row>
    <row r="3" spans="1:8" ht="15" customHeight="1">
      <c r="A3" s="1">
        <v>1</v>
      </c>
      <c r="B3" s="1">
        <v>1</v>
      </c>
      <c r="C3" s="2" t="s">
        <v>12</v>
      </c>
      <c r="D3" s="2">
        <v>1</v>
      </c>
      <c r="E3" s="1" t="s">
        <v>4</v>
      </c>
      <c r="F3" s="1">
        <v>12</v>
      </c>
      <c r="G3" s="26">
        <v>383</v>
      </c>
      <c r="H3" s="26">
        <v>353</v>
      </c>
    </row>
    <row r="4" spans="1:8" ht="15" customHeight="1">
      <c r="A4" s="1">
        <v>2</v>
      </c>
      <c r="B4" s="1">
        <v>1</v>
      </c>
      <c r="C4" s="3" t="s">
        <v>15</v>
      </c>
      <c r="D4" s="3">
        <v>2</v>
      </c>
      <c r="E4" s="1" t="s">
        <v>4</v>
      </c>
      <c r="F4" s="1">
        <v>12</v>
      </c>
      <c r="G4" s="26">
        <v>436</v>
      </c>
      <c r="H4" s="26">
        <v>383</v>
      </c>
    </row>
    <row r="5" spans="1:8" ht="15" customHeight="1">
      <c r="A5" s="1">
        <v>3</v>
      </c>
      <c r="B5" s="1">
        <v>3</v>
      </c>
      <c r="C5" s="2" t="s">
        <v>12</v>
      </c>
      <c r="D5" s="2">
        <v>1</v>
      </c>
      <c r="E5" s="1" t="s">
        <v>6</v>
      </c>
      <c r="F5" s="1">
        <v>24</v>
      </c>
      <c r="G5" s="26">
        <v>440</v>
      </c>
      <c r="H5" s="26">
        <v>440</v>
      </c>
    </row>
    <row r="6" spans="1:8" ht="15" customHeight="1">
      <c r="A6" s="1">
        <v>4</v>
      </c>
      <c r="B6" s="1">
        <v>4</v>
      </c>
      <c r="C6" s="2" t="s">
        <v>12</v>
      </c>
      <c r="D6" s="2">
        <v>1</v>
      </c>
      <c r="E6" s="1" t="s">
        <v>6</v>
      </c>
      <c r="F6" s="1">
        <v>24</v>
      </c>
      <c r="G6" s="26">
        <v>453</v>
      </c>
      <c r="H6" s="26">
        <v>453</v>
      </c>
    </row>
    <row r="7" spans="1:8" ht="15" customHeight="1">
      <c r="A7" s="1">
        <v>5</v>
      </c>
      <c r="B7" s="1">
        <v>5</v>
      </c>
      <c r="C7" s="2" t="s">
        <v>12</v>
      </c>
      <c r="D7" s="2">
        <v>1</v>
      </c>
      <c r="E7" s="1" t="s">
        <v>3</v>
      </c>
      <c r="F7" s="1">
        <v>30</v>
      </c>
      <c r="G7" s="26">
        <v>466</v>
      </c>
      <c r="H7" s="26">
        <v>466</v>
      </c>
    </row>
    <row r="8" spans="1:8" ht="15" customHeight="1">
      <c r="A8" s="1">
        <v>6</v>
      </c>
      <c r="B8" s="1">
        <v>6</v>
      </c>
      <c r="C8" s="2" t="s">
        <v>12</v>
      </c>
      <c r="D8" s="2">
        <v>1</v>
      </c>
      <c r="E8" s="1" t="s">
        <v>5</v>
      </c>
      <c r="F8" s="1">
        <v>36</v>
      </c>
      <c r="G8" s="26">
        <v>478</v>
      </c>
      <c r="H8" s="26">
        <v>478</v>
      </c>
    </row>
    <row r="9" spans="1:8" ht="15" customHeight="1">
      <c r="A9" s="1">
        <v>7</v>
      </c>
      <c r="B9" s="1">
        <v>7</v>
      </c>
      <c r="C9" s="2" t="s">
        <v>12</v>
      </c>
      <c r="D9" s="2">
        <v>1</v>
      </c>
      <c r="E9" s="1" t="s">
        <v>5</v>
      </c>
      <c r="F9" s="1">
        <v>36</v>
      </c>
      <c r="G9" s="26">
        <v>506</v>
      </c>
      <c r="H9" s="26">
        <v>506</v>
      </c>
    </row>
    <row r="10" spans="1:8" ht="15" customHeight="1">
      <c r="A10" s="1">
        <v>8</v>
      </c>
      <c r="B10" s="1">
        <v>8</v>
      </c>
      <c r="C10" s="2" t="s">
        <v>12</v>
      </c>
      <c r="D10" s="2">
        <v>1</v>
      </c>
      <c r="E10" s="1" t="s">
        <v>7</v>
      </c>
      <c r="F10" s="1">
        <v>42</v>
      </c>
      <c r="G10" s="26">
        <v>542</v>
      </c>
      <c r="H10" s="26">
        <v>542</v>
      </c>
    </row>
    <row r="11" spans="1:8" ht="15" customHeight="1">
      <c r="A11" s="1">
        <v>9</v>
      </c>
      <c r="B11" s="1">
        <v>9</v>
      </c>
      <c r="C11" s="2" t="s">
        <v>12</v>
      </c>
      <c r="D11" s="2">
        <v>1</v>
      </c>
      <c r="E11" s="1" t="s">
        <v>9</v>
      </c>
      <c r="F11" s="1">
        <v>48</v>
      </c>
      <c r="G11" s="26">
        <v>578</v>
      </c>
      <c r="H11" s="26">
        <v>578</v>
      </c>
    </row>
    <row r="12" spans="1:8" ht="15" customHeight="1">
      <c r="A12" s="1">
        <v>10</v>
      </c>
      <c r="B12" s="1">
        <v>10</v>
      </c>
      <c r="C12" s="2" t="s">
        <v>12</v>
      </c>
      <c r="D12" s="2">
        <v>1</v>
      </c>
      <c r="E12" s="1" t="s">
        <v>9</v>
      </c>
      <c r="F12" s="1">
        <v>48</v>
      </c>
      <c r="G12" s="26">
        <v>620</v>
      </c>
      <c r="H12" s="26">
        <v>620</v>
      </c>
    </row>
    <row r="13" spans="1:8" ht="15" customHeight="1">
      <c r="A13" s="1">
        <v>11</v>
      </c>
      <c r="B13" s="1">
        <v>11</v>
      </c>
      <c r="C13" s="2" t="s">
        <v>12</v>
      </c>
      <c r="D13" s="2">
        <v>1</v>
      </c>
      <c r="E13" s="1" t="s">
        <v>2</v>
      </c>
      <c r="F13" s="1">
        <v>0</v>
      </c>
      <c r="G13" s="26">
        <v>664</v>
      </c>
      <c r="H13" s="26">
        <v>664</v>
      </c>
    </row>
    <row r="14" spans="1:8" ht="15" customHeight="1">
      <c r="A14" s="1">
        <v>21</v>
      </c>
      <c r="B14" s="1">
        <v>1</v>
      </c>
      <c r="C14" s="2" t="s">
        <v>14</v>
      </c>
      <c r="D14" s="2">
        <v>0</v>
      </c>
      <c r="E14" s="1" t="s">
        <v>6</v>
      </c>
      <c r="F14" s="1">
        <v>24</v>
      </c>
      <c r="G14" s="26">
        <v>570</v>
      </c>
      <c r="H14" s="26">
        <v>516</v>
      </c>
    </row>
    <row r="15" spans="1:8" ht="15" customHeight="1">
      <c r="A15" s="1">
        <v>22</v>
      </c>
      <c r="B15" s="1">
        <v>1</v>
      </c>
      <c r="C15" s="2" t="s">
        <v>12</v>
      </c>
      <c r="D15" s="2">
        <v>1</v>
      </c>
      <c r="E15" s="1" t="s">
        <v>6</v>
      </c>
      <c r="F15" s="1">
        <v>24</v>
      </c>
      <c r="G15" s="26">
        <v>611</v>
      </c>
      <c r="H15" s="26">
        <v>570</v>
      </c>
    </row>
    <row r="16" spans="1:8" ht="15" customHeight="1">
      <c r="A16" s="1">
        <v>23</v>
      </c>
      <c r="B16" s="1">
        <v>2</v>
      </c>
      <c r="C16" s="2" t="s">
        <v>12</v>
      </c>
      <c r="D16" s="2">
        <v>1</v>
      </c>
      <c r="E16" s="1" t="s">
        <v>3</v>
      </c>
      <c r="F16" s="1">
        <v>30</v>
      </c>
      <c r="G16" s="26">
        <v>652</v>
      </c>
      <c r="H16" s="26">
        <v>611</v>
      </c>
    </row>
    <row r="17" spans="1:17" ht="15" customHeight="1">
      <c r="A17" s="1">
        <v>24</v>
      </c>
      <c r="B17" s="1">
        <v>3</v>
      </c>
      <c r="C17" s="2" t="s">
        <v>12</v>
      </c>
      <c r="D17" s="2">
        <v>1</v>
      </c>
      <c r="E17" s="1" t="s">
        <v>3</v>
      </c>
      <c r="F17" s="1">
        <v>30</v>
      </c>
      <c r="G17" s="26">
        <v>705</v>
      </c>
      <c r="H17" s="26">
        <v>652</v>
      </c>
      <c r="I17" t="s">
        <v>45</v>
      </c>
      <c r="J17" t="s">
        <v>54</v>
      </c>
      <c r="K17" t="s">
        <v>48</v>
      </c>
      <c r="M17" t="s">
        <v>47</v>
      </c>
      <c r="N17" t="s">
        <v>50</v>
      </c>
      <c r="O17" t="s">
        <v>49</v>
      </c>
      <c r="P17" t="s">
        <v>51</v>
      </c>
      <c r="Q17" t="s">
        <v>65</v>
      </c>
    </row>
    <row r="18" spans="1:17" ht="15" customHeight="1">
      <c r="A18" s="1">
        <v>25</v>
      </c>
      <c r="B18" s="1">
        <v>4</v>
      </c>
      <c r="C18" s="2" t="s">
        <v>12</v>
      </c>
      <c r="D18" s="2">
        <v>1</v>
      </c>
      <c r="E18" s="1" t="s">
        <v>5</v>
      </c>
      <c r="F18" s="1">
        <v>36</v>
      </c>
      <c r="G18" s="26">
        <v>751</v>
      </c>
      <c r="H18" s="26">
        <v>705</v>
      </c>
      <c r="I18" s="21">
        <f>IF(Reclassement!K4="CPE",Reclassement!L4,"")</f>
      </c>
      <c r="J18" s="21" t="e">
        <f>LOOKUP(I18,A3:A22,D3:D22)</f>
        <v>#N/A</v>
      </c>
      <c r="K18" s="21" t="e">
        <f>LOOKUP(I18,A3:A22,B3:B22)</f>
        <v>#N/A</v>
      </c>
      <c r="L18" s="21" t="e">
        <f>IF(I18&lt;20,K18,IF(I18&lt;100,20+K18,100+K18))</f>
        <v>#N/A</v>
      </c>
      <c r="M18" s="21" t="e">
        <f>LOOKUP(L18,A3:A22,F3:F22)</f>
        <v>#N/A</v>
      </c>
      <c r="N18" s="21">
        <f>Reclassement!Q6</f>
        <v>1412</v>
      </c>
      <c r="O18" s="21" t="e">
        <f>IF(M18=0,K18,IF(N18&gt;=M18,K18+1,K18))</f>
        <v>#N/A</v>
      </c>
      <c r="P18" s="21" t="e">
        <f>IF(OR(O18&gt;K18,J18=0),0,IF(J18=2,N18+3,N18))</f>
        <v>#N/A</v>
      </c>
      <c r="Q18" t="e">
        <f>LOOKUP(O19,A3:A24,G3:G24)</f>
        <v>#N/A</v>
      </c>
    </row>
    <row r="19" spans="1:15" ht="15" customHeight="1">
      <c r="A19" s="1">
        <v>26</v>
      </c>
      <c r="B19" s="1">
        <v>5</v>
      </c>
      <c r="C19" s="2" t="s">
        <v>12</v>
      </c>
      <c r="D19" s="2">
        <v>1</v>
      </c>
      <c r="E19" s="1" t="s">
        <v>2</v>
      </c>
      <c r="F19" s="1">
        <v>0</v>
      </c>
      <c r="G19" s="26">
        <v>793</v>
      </c>
      <c r="H19" s="26">
        <v>751</v>
      </c>
      <c r="O19" s="21" t="e">
        <f>IF(I18&lt;20,O18,IF(I18&lt;100,20+O18,100+O18))</f>
        <v>#N/A</v>
      </c>
    </row>
    <row r="20" spans="1:9" ht="15">
      <c r="A20" s="1">
        <v>27</v>
      </c>
      <c r="B20" s="1">
        <v>6</v>
      </c>
      <c r="C20" s="2" t="s">
        <v>12</v>
      </c>
      <c r="D20" s="2">
        <v>1</v>
      </c>
      <c r="E20" s="1" t="s">
        <v>2</v>
      </c>
      <c r="F20" s="1">
        <v>0</v>
      </c>
      <c r="G20" s="28"/>
      <c r="H20" s="26">
        <v>793</v>
      </c>
      <c r="I20" t="s">
        <v>76</v>
      </c>
    </row>
    <row r="21" spans="4:9" ht="15">
      <c r="D21" s="24"/>
      <c r="I21" t="e">
        <f>LOOKUP(I18,A3:A24,H3:H24)</f>
        <v>#N/A</v>
      </c>
    </row>
    <row r="22" ht="15">
      <c r="D22" s="24"/>
    </row>
  </sheetData>
  <sheetProtection password="DB59" sheet="1"/>
  <mergeCells count="8">
    <mergeCell ref="H1:H2"/>
    <mergeCell ref="G1:G2"/>
    <mergeCell ref="B1:B2"/>
    <mergeCell ref="C1:C2"/>
    <mergeCell ref="F1:F2"/>
    <mergeCell ref="A1:A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2"/>
  <sheetViews>
    <sheetView zoomScale="110" zoomScaleNormal="110" zoomScalePageLayoutView="0" workbookViewId="0" topLeftCell="A1">
      <selection activeCell="H4" sqref="H4"/>
    </sheetView>
  </sheetViews>
  <sheetFormatPr defaultColWidth="11.421875" defaultRowHeight="15"/>
  <cols>
    <col min="1" max="1" width="17.57421875" style="0" customWidth="1"/>
    <col min="2" max="2" width="16.00390625" style="0" customWidth="1"/>
    <col min="3" max="3" width="42.00390625" style="0" customWidth="1"/>
    <col min="4" max="4" width="7.00390625" style="0" customWidth="1"/>
    <col min="5" max="5" width="17.421875" style="0" customWidth="1"/>
    <col min="6" max="6" width="11.57421875" style="0" customWidth="1"/>
    <col min="8" max="8" width="12.421875" style="0" customWidth="1"/>
  </cols>
  <sheetData>
    <row r="1" spans="1:8" ht="30.75" customHeight="1">
      <c r="A1" s="112" t="s">
        <v>0</v>
      </c>
      <c r="B1" s="111" t="s">
        <v>10</v>
      </c>
      <c r="C1" s="111" t="s">
        <v>11</v>
      </c>
      <c r="D1" s="114" t="s">
        <v>54</v>
      </c>
      <c r="E1" s="112" t="s">
        <v>1</v>
      </c>
      <c r="F1" s="112" t="s">
        <v>55</v>
      </c>
      <c r="G1" s="109" t="s">
        <v>64</v>
      </c>
      <c r="H1" s="109" t="s">
        <v>75</v>
      </c>
    </row>
    <row r="2" spans="1:8" ht="15" customHeight="1">
      <c r="A2" s="113"/>
      <c r="B2" s="111"/>
      <c r="C2" s="111"/>
      <c r="D2" s="115"/>
      <c r="E2" s="113"/>
      <c r="F2" s="113"/>
      <c r="G2" s="110"/>
      <c r="H2" s="110"/>
    </row>
    <row r="3" spans="1:8" ht="15" customHeight="1">
      <c r="A3" s="5">
        <v>1</v>
      </c>
      <c r="B3" s="1">
        <v>1</v>
      </c>
      <c r="C3" s="2" t="s">
        <v>12</v>
      </c>
      <c r="D3" s="2">
        <v>1</v>
      </c>
      <c r="E3" s="1" t="s">
        <v>4</v>
      </c>
      <c r="F3" s="1">
        <v>12</v>
      </c>
      <c r="G3" s="26">
        <v>443</v>
      </c>
      <c r="H3" s="26">
        <v>383</v>
      </c>
    </row>
    <row r="4" spans="1:8" ht="15" customHeight="1">
      <c r="A4" s="5">
        <v>2</v>
      </c>
      <c r="B4" s="1">
        <v>1</v>
      </c>
      <c r="C4" s="3" t="s">
        <v>15</v>
      </c>
      <c r="D4" s="3">
        <v>2</v>
      </c>
      <c r="E4" s="1" t="s">
        <v>4</v>
      </c>
      <c r="F4" s="1">
        <v>12</v>
      </c>
      <c r="G4" s="26">
        <v>493</v>
      </c>
      <c r="H4" s="26">
        <v>443</v>
      </c>
    </row>
    <row r="5" spans="1:8" ht="15" customHeight="1">
      <c r="A5" s="5">
        <v>3</v>
      </c>
      <c r="B5" s="1">
        <v>3</v>
      </c>
      <c r="C5" s="2" t="s">
        <v>12</v>
      </c>
      <c r="D5" s="2">
        <v>1</v>
      </c>
      <c r="E5" s="1" t="s">
        <v>6</v>
      </c>
      <c r="F5" s="1">
        <v>24</v>
      </c>
      <c r="G5" s="26">
        <v>497</v>
      </c>
      <c r="H5" s="26">
        <v>497</v>
      </c>
    </row>
    <row r="6" spans="1:8" ht="15" customHeight="1">
      <c r="A6" s="5">
        <v>4</v>
      </c>
      <c r="B6" s="1">
        <v>4</v>
      </c>
      <c r="C6" s="2" t="s">
        <v>12</v>
      </c>
      <c r="D6" s="2">
        <v>1</v>
      </c>
      <c r="E6" s="1" t="s">
        <v>6</v>
      </c>
      <c r="F6" s="1">
        <v>24</v>
      </c>
      <c r="G6" s="26">
        <v>534</v>
      </c>
      <c r="H6" s="26">
        <v>534</v>
      </c>
    </row>
    <row r="7" spans="1:8" ht="15" customHeight="1">
      <c r="A7" s="5">
        <v>5</v>
      </c>
      <c r="B7" s="1">
        <v>5</v>
      </c>
      <c r="C7" s="2" t="s">
        <v>12</v>
      </c>
      <c r="D7" s="2">
        <v>1</v>
      </c>
      <c r="E7" s="1" t="s">
        <v>3</v>
      </c>
      <c r="F7" s="1">
        <v>30</v>
      </c>
      <c r="G7" s="26">
        <v>569</v>
      </c>
      <c r="H7" s="26">
        <v>569</v>
      </c>
    </row>
    <row r="8" spans="1:8" ht="15" customHeight="1">
      <c r="A8" s="5">
        <v>6</v>
      </c>
      <c r="B8" s="1">
        <v>6</v>
      </c>
      <c r="C8" s="2" t="s">
        <v>12</v>
      </c>
      <c r="D8" s="2">
        <v>1</v>
      </c>
      <c r="E8" s="1" t="s">
        <v>5</v>
      </c>
      <c r="F8" s="1">
        <v>36</v>
      </c>
      <c r="G8" s="26">
        <v>604</v>
      </c>
      <c r="H8" s="26">
        <v>604</v>
      </c>
    </row>
    <row r="9" spans="1:8" ht="15" customHeight="1">
      <c r="A9" s="5">
        <v>7</v>
      </c>
      <c r="B9" s="1">
        <v>7</v>
      </c>
      <c r="C9" s="2" t="s">
        <v>12</v>
      </c>
      <c r="D9" s="2">
        <v>1</v>
      </c>
      <c r="E9" s="1" t="s">
        <v>5</v>
      </c>
      <c r="F9" s="1">
        <v>36</v>
      </c>
      <c r="G9" s="26">
        <v>646</v>
      </c>
      <c r="H9" s="26">
        <v>646</v>
      </c>
    </row>
    <row r="10" spans="1:8" ht="15" customHeight="1">
      <c r="A10" s="5">
        <v>8</v>
      </c>
      <c r="B10" s="1">
        <v>8</v>
      </c>
      <c r="C10" s="2" t="s">
        <v>12</v>
      </c>
      <c r="D10" s="2">
        <v>1</v>
      </c>
      <c r="E10" s="1" t="s">
        <v>7</v>
      </c>
      <c r="F10" s="1">
        <v>42</v>
      </c>
      <c r="G10" s="26">
        <v>695</v>
      </c>
      <c r="H10" s="26">
        <v>695</v>
      </c>
    </row>
    <row r="11" spans="1:8" ht="15" customHeight="1">
      <c r="A11" s="5">
        <v>9</v>
      </c>
      <c r="B11" s="1">
        <v>9</v>
      </c>
      <c r="C11" s="2" t="s">
        <v>12</v>
      </c>
      <c r="D11" s="2">
        <v>1</v>
      </c>
      <c r="E11" s="1" t="s">
        <v>9</v>
      </c>
      <c r="F11" s="1">
        <v>48</v>
      </c>
      <c r="G11" s="26">
        <v>744</v>
      </c>
      <c r="H11" s="26">
        <v>745</v>
      </c>
    </row>
    <row r="12" spans="1:8" ht="15" customHeight="1">
      <c r="A12" s="5">
        <v>10</v>
      </c>
      <c r="B12" s="1">
        <v>10</v>
      </c>
      <c r="C12" s="2" t="s">
        <v>12</v>
      </c>
      <c r="D12" s="2">
        <v>1</v>
      </c>
      <c r="E12" s="1" t="s">
        <v>9</v>
      </c>
      <c r="F12" s="1">
        <v>48</v>
      </c>
      <c r="G12" s="26">
        <v>791</v>
      </c>
      <c r="H12" s="26">
        <v>791</v>
      </c>
    </row>
    <row r="13" spans="1:8" ht="15" customHeight="1">
      <c r="A13" s="5">
        <v>11</v>
      </c>
      <c r="B13" s="1">
        <v>11</v>
      </c>
      <c r="C13" s="2" t="s">
        <v>12</v>
      </c>
      <c r="D13" s="2">
        <v>1</v>
      </c>
      <c r="E13" s="1" t="s">
        <v>2</v>
      </c>
      <c r="F13" s="1">
        <v>0</v>
      </c>
      <c r="G13" s="26">
        <v>825</v>
      </c>
      <c r="H13" s="26">
        <v>825</v>
      </c>
    </row>
    <row r="14" spans="1:8" ht="15" customHeight="1">
      <c r="A14" s="5">
        <v>21</v>
      </c>
      <c r="B14" s="1">
        <v>1</v>
      </c>
      <c r="C14" s="2" t="s">
        <v>14</v>
      </c>
      <c r="D14" s="2">
        <v>0</v>
      </c>
      <c r="E14" s="1" t="s">
        <v>6</v>
      </c>
      <c r="F14" s="1">
        <v>24</v>
      </c>
      <c r="G14" s="26">
        <v>745</v>
      </c>
      <c r="H14" s="26">
        <v>679</v>
      </c>
    </row>
    <row r="15" spans="1:8" ht="15" customHeight="1">
      <c r="A15" s="5">
        <v>22</v>
      </c>
      <c r="B15" s="1">
        <v>1</v>
      </c>
      <c r="C15" s="2" t="s">
        <v>14</v>
      </c>
      <c r="D15" s="2">
        <v>0</v>
      </c>
      <c r="E15" s="1" t="s">
        <v>6</v>
      </c>
      <c r="F15" s="1">
        <v>24</v>
      </c>
      <c r="G15" s="26">
        <v>791</v>
      </c>
      <c r="H15" s="26">
        <v>706</v>
      </c>
    </row>
    <row r="16" spans="1:8" ht="15" customHeight="1">
      <c r="A16" s="5">
        <v>23</v>
      </c>
      <c r="B16" s="1">
        <v>1</v>
      </c>
      <c r="C16" s="2" t="s">
        <v>12</v>
      </c>
      <c r="D16" s="2">
        <v>1</v>
      </c>
      <c r="E16" s="1" t="s">
        <v>5</v>
      </c>
      <c r="F16" s="1">
        <v>36</v>
      </c>
      <c r="G16" s="26">
        <v>825</v>
      </c>
      <c r="H16" s="26">
        <v>744</v>
      </c>
    </row>
    <row r="17" spans="1:17" ht="15" customHeight="1">
      <c r="A17" s="5">
        <v>24</v>
      </c>
      <c r="B17" s="1">
        <v>2</v>
      </c>
      <c r="C17" s="2" t="s">
        <v>12</v>
      </c>
      <c r="D17" s="2">
        <v>1</v>
      </c>
      <c r="E17" s="1" t="s">
        <v>2</v>
      </c>
      <c r="F17" s="1">
        <v>0</v>
      </c>
      <c r="G17" s="26" t="s">
        <v>67</v>
      </c>
      <c r="H17" s="26">
        <v>791</v>
      </c>
      <c r="I17" t="s">
        <v>45</v>
      </c>
      <c r="J17" t="s">
        <v>54</v>
      </c>
      <c r="K17" t="s">
        <v>48</v>
      </c>
      <c r="M17" t="s">
        <v>47</v>
      </c>
      <c r="N17" t="s">
        <v>50</v>
      </c>
      <c r="O17" t="s">
        <v>49</v>
      </c>
      <c r="P17" t="s">
        <v>51</v>
      </c>
      <c r="Q17" t="s">
        <v>65</v>
      </c>
    </row>
    <row r="18" spans="1:17" ht="15" customHeight="1">
      <c r="A18" s="5">
        <v>25</v>
      </c>
      <c r="B18" s="1">
        <v>3</v>
      </c>
      <c r="C18" s="2" t="s">
        <v>12</v>
      </c>
      <c r="D18" s="2">
        <v>1</v>
      </c>
      <c r="E18" s="1" t="s">
        <v>2</v>
      </c>
      <c r="F18" s="1">
        <v>0</v>
      </c>
      <c r="G18" s="26"/>
      <c r="H18" s="26">
        <v>825</v>
      </c>
      <c r="I18" s="21">
        <f>IF(Reclassement!K4="Agr",Reclassement!L4,"")</f>
      </c>
      <c r="J18" s="21" t="e">
        <f>LOOKUP(I18,A3:A22,D3:D22)</f>
        <v>#N/A</v>
      </c>
      <c r="K18" s="21" t="e">
        <f>LOOKUP(I18,A3:A22,B3:B22)</f>
        <v>#N/A</v>
      </c>
      <c r="L18" s="21" t="e">
        <f>IF(I18&lt;20,K18,IF(I18&lt;100,20+K18,100+K18))</f>
        <v>#N/A</v>
      </c>
      <c r="M18" s="21" t="e">
        <f>LOOKUP(L18,A3:A22,F3:F22)</f>
        <v>#N/A</v>
      </c>
      <c r="N18" s="21">
        <f>Reclassement!Q6</f>
        <v>1412</v>
      </c>
      <c r="O18" s="21" t="e">
        <f>IF(M18=0,K18,IF(N18&gt;=M18,K18+1,K18))</f>
        <v>#N/A</v>
      </c>
      <c r="P18" s="21" t="e">
        <f>IF(OR(O18&gt;K18,J18=0),0,IF(J18=2,N18+3,N18))</f>
        <v>#N/A</v>
      </c>
      <c r="Q18" t="e">
        <f>LOOKUP(O19,A3:A24,G3:G24)</f>
        <v>#N/A</v>
      </c>
    </row>
    <row r="19" spans="1:15" ht="15" customHeight="1">
      <c r="A19" s="5">
        <v>26</v>
      </c>
      <c r="B19" s="1">
        <v>4</v>
      </c>
      <c r="C19" s="2" t="s">
        <v>12</v>
      </c>
      <c r="D19" s="2">
        <v>1</v>
      </c>
      <c r="E19" s="1" t="s">
        <v>2</v>
      </c>
      <c r="F19" s="1">
        <v>0</v>
      </c>
      <c r="G19" s="26"/>
      <c r="H19" s="26" t="s">
        <v>67</v>
      </c>
      <c r="O19" s="21" t="e">
        <f>IF(I18&lt;20,O18,IF(I18&lt;100,20+O18,100+O18))</f>
        <v>#N/A</v>
      </c>
    </row>
    <row r="20" spans="1:9" ht="15" customHeight="1">
      <c r="A20" s="5">
        <v>101</v>
      </c>
      <c r="B20" s="1">
        <v>1</v>
      </c>
      <c r="C20" s="2" t="s">
        <v>12</v>
      </c>
      <c r="D20" s="2">
        <v>1</v>
      </c>
      <c r="E20" s="1" t="s">
        <v>3</v>
      </c>
      <c r="F20" s="1">
        <v>30</v>
      </c>
      <c r="G20" s="26">
        <v>825</v>
      </c>
      <c r="H20" s="26"/>
      <c r="I20" t="s">
        <v>76</v>
      </c>
    </row>
    <row r="21" spans="1:9" ht="15" customHeight="1">
      <c r="A21" s="5">
        <v>102</v>
      </c>
      <c r="B21" s="1">
        <v>2</v>
      </c>
      <c r="C21" s="2" t="s">
        <v>12</v>
      </c>
      <c r="D21" s="2">
        <v>1</v>
      </c>
      <c r="E21" s="1" t="s">
        <v>5</v>
      </c>
      <c r="F21" s="1">
        <v>36</v>
      </c>
      <c r="G21" s="26" t="s">
        <v>67</v>
      </c>
      <c r="H21" s="26"/>
      <c r="I21" t="e">
        <f>LOOKUP(I18,A3:A24,H3:H24)</f>
        <v>#N/A</v>
      </c>
    </row>
    <row r="22" spans="1:8" ht="15" customHeight="1">
      <c r="A22" s="5">
        <v>103</v>
      </c>
      <c r="B22" s="1">
        <v>3</v>
      </c>
      <c r="C22" s="2" t="s">
        <v>12</v>
      </c>
      <c r="D22" s="2">
        <v>1</v>
      </c>
      <c r="E22" s="1" t="s">
        <v>2</v>
      </c>
      <c r="F22" s="1">
        <v>0</v>
      </c>
      <c r="G22" s="26" t="s">
        <v>68</v>
      </c>
      <c r="H22" s="26"/>
    </row>
  </sheetData>
  <sheetProtection password="DB59" sheet="1"/>
  <mergeCells count="8">
    <mergeCell ref="H1:H2"/>
    <mergeCell ref="G1:G2"/>
    <mergeCell ref="B1:B2"/>
    <mergeCell ref="C1:C2"/>
    <mergeCell ref="F1:F2"/>
    <mergeCell ref="A1:A2"/>
    <mergeCell ref="E1:E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H3" sqref="H3"/>
    </sheetView>
  </sheetViews>
  <sheetFormatPr defaultColWidth="11.421875" defaultRowHeight="15"/>
  <cols>
    <col min="1" max="1" width="14.57421875" style="0" customWidth="1"/>
    <col min="2" max="2" width="16.00390625" style="0" customWidth="1"/>
    <col min="3" max="3" width="42.00390625" style="0" customWidth="1"/>
    <col min="4" max="4" width="6.8515625" style="0" customWidth="1"/>
    <col min="5" max="5" width="17.421875" style="0" customWidth="1"/>
    <col min="6" max="6" width="11.00390625" style="0" customWidth="1"/>
    <col min="8" max="8" width="12.00390625" style="0" customWidth="1"/>
    <col min="16" max="16" width="12.28125" style="0" bestFit="1" customWidth="1"/>
  </cols>
  <sheetData>
    <row r="1" spans="1:9" ht="30.75" customHeight="1">
      <c r="A1" s="112" t="s">
        <v>0</v>
      </c>
      <c r="B1" s="111" t="s">
        <v>10</v>
      </c>
      <c r="C1" s="111" t="s">
        <v>11</v>
      </c>
      <c r="D1" s="10" t="s">
        <v>54</v>
      </c>
      <c r="E1" s="112" t="s">
        <v>1</v>
      </c>
      <c r="F1" s="112" t="s">
        <v>55</v>
      </c>
      <c r="G1" s="109" t="s">
        <v>64</v>
      </c>
      <c r="H1" s="109" t="s">
        <v>75</v>
      </c>
      <c r="I1" s="109" t="s">
        <v>71</v>
      </c>
    </row>
    <row r="2" spans="1:9" ht="15" customHeight="1">
      <c r="A2" s="113"/>
      <c r="B2" s="111"/>
      <c r="C2" s="111"/>
      <c r="D2" s="11"/>
      <c r="E2" s="113"/>
      <c r="F2" s="113"/>
      <c r="G2" s="110"/>
      <c r="H2" s="110"/>
      <c r="I2" s="110"/>
    </row>
    <row r="3" spans="1:9" ht="15" customHeight="1">
      <c r="A3" s="1">
        <v>1</v>
      </c>
      <c r="B3" s="1">
        <v>1</v>
      </c>
      <c r="C3" s="2" t="s">
        <v>12</v>
      </c>
      <c r="D3" s="2">
        <v>1</v>
      </c>
      <c r="E3" s="1" t="s">
        <v>4</v>
      </c>
      <c r="F3" s="1">
        <v>12</v>
      </c>
      <c r="G3" s="26">
        <v>383</v>
      </c>
      <c r="H3" s="26">
        <v>353</v>
      </c>
      <c r="I3" s="28"/>
    </row>
    <row r="4" spans="1:9" ht="15" customHeight="1">
      <c r="A4" s="1">
        <v>2</v>
      </c>
      <c r="B4" s="1">
        <v>1</v>
      </c>
      <c r="C4" s="3" t="s">
        <v>15</v>
      </c>
      <c r="D4" s="3">
        <v>2</v>
      </c>
      <c r="E4" s="1" t="s">
        <v>4</v>
      </c>
      <c r="F4" s="1">
        <v>12</v>
      </c>
      <c r="G4" s="26">
        <v>383</v>
      </c>
      <c r="H4" s="26">
        <v>383</v>
      </c>
      <c r="I4" s="28"/>
    </row>
    <row r="5" spans="1:9" ht="15" customHeight="1">
      <c r="A5" s="1">
        <v>3</v>
      </c>
      <c r="B5" s="1">
        <v>3</v>
      </c>
      <c r="C5" s="2" t="s">
        <v>12</v>
      </c>
      <c r="D5" s="2">
        <v>1</v>
      </c>
      <c r="E5" s="1" t="s">
        <v>6</v>
      </c>
      <c r="F5" s="1">
        <v>24</v>
      </c>
      <c r="G5" s="26">
        <v>436</v>
      </c>
      <c r="H5" s="26">
        <v>440</v>
      </c>
      <c r="I5" s="2">
        <v>4</v>
      </c>
    </row>
    <row r="6" spans="1:9" ht="15" customHeight="1">
      <c r="A6" s="1">
        <v>4</v>
      </c>
      <c r="B6" s="1">
        <v>4</v>
      </c>
      <c r="C6" s="2" t="s">
        <v>12</v>
      </c>
      <c r="D6" s="2">
        <v>1</v>
      </c>
      <c r="E6" s="1" t="s">
        <v>6</v>
      </c>
      <c r="F6" s="1">
        <v>24</v>
      </c>
      <c r="G6" s="26">
        <v>453</v>
      </c>
      <c r="H6" s="26">
        <v>453</v>
      </c>
      <c r="I6" s="2">
        <v>12</v>
      </c>
    </row>
    <row r="7" spans="1:9" ht="15" customHeight="1">
      <c r="A7" s="1">
        <v>5</v>
      </c>
      <c r="B7" s="1">
        <v>5</v>
      </c>
      <c r="C7" s="2" t="s">
        <v>12</v>
      </c>
      <c r="D7" s="2">
        <v>1</v>
      </c>
      <c r="E7" s="1" t="s">
        <v>3</v>
      </c>
      <c r="F7" s="1">
        <v>30</v>
      </c>
      <c r="G7" s="26">
        <v>466</v>
      </c>
      <c r="H7" s="26">
        <v>466</v>
      </c>
      <c r="I7" s="2">
        <v>25</v>
      </c>
    </row>
    <row r="8" spans="1:9" ht="15" customHeight="1">
      <c r="A8" s="1">
        <v>6</v>
      </c>
      <c r="B8" s="1">
        <v>6</v>
      </c>
      <c r="C8" s="2" t="s">
        <v>12</v>
      </c>
      <c r="D8" s="2">
        <v>1</v>
      </c>
      <c r="E8" s="1" t="s">
        <v>5</v>
      </c>
      <c r="F8" s="1">
        <v>36</v>
      </c>
      <c r="G8" s="26">
        <v>478</v>
      </c>
      <c r="H8" s="26">
        <v>478</v>
      </c>
      <c r="I8" s="2">
        <v>33</v>
      </c>
    </row>
    <row r="9" spans="1:9" ht="15" customHeight="1">
      <c r="A9" s="1">
        <v>7</v>
      </c>
      <c r="B9" s="1">
        <v>7</v>
      </c>
      <c r="C9" s="2" t="s">
        <v>12</v>
      </c>
      <c r="D9" s="2">
        <v>1</v>
      </c>
      <c r="E9" s="1" t="s">
        <v>5</v>
      </c>
      <c r="F9" s="1">
        <v>36</v>
      </c>
      <c r="G9" s="26">
        <v>506</v>
      </c>
      <c r="H9" s="26">
        <v>506</v>
      </c>
      <c r="I9" s="2">
        <v>32</v>
      </c>
    </row>
    <row r="10" spans="1:9" ht="15" customHeight="1">
      <c r="A10" s="1">
        <v>8</v>
      </c>
      <c r="B10" s="1">
        <v>8</v>
      </c>
      <c r="C10" s="2" t="s">
        <v>12</v>
      </c>
      <c r="D10" s="2">
        <v>1</v>
      </c>
      <c r="E10" s="1" t="s">
        <v>7</v>
      </c>
      <c r="F10" s="1">
        <v>42</v>
      </c>
      <c r="G10" s="26">
        <v>542</v>
      </c>
      <c r="H10" s="26">
        <v>542</v>
      </c>
      <c r="I10" s="2">
        <v>36</v>
      </c>
    </row>
    <row r="11" spans="1:9" ht="15" customHeight="1">
      <c r="A11" s="1">
        <v>9</v>
      </c>
      <c r="B11" s="1">
        <v>9</v>
      </c>
      <c r="C11" s="2" t="s">
        <v>12</v>
      </c>
      <c r="D11" s="2">
        <v>1</v>
      </c>
      <c r="E11" s="1" t="s">
        <v>9</v>
      </c>
      <c r="F11" s="1">
        <v>48</v>
      </c>
      <c r="G11" s="26">
        <v>578</v>
      </c>
      <c r="H11" s="26">
        <v>578</v>
      </c>
      <c r="I11" s="2">
        <v>45</v>
      </c>
    </row>
    <row r="12" spans="1:9" ht="15" customHeight="1">
      <c r="A12" s="1">
        <v>10</v>
      </c>
      <c r="B12" s="1">
        <v>10</v>
      </c>
      <c r="C12" s="2" t="s">
        <v>12</v>
      </c>
      <c r="D12" s="2">
        <v>1</v>
      </c>
      <c r="E12" s="1" t="s">
        <v>9</v>
      </c>
      <c r="F12" s="1">
        <v>48</v>
      </c>
      <c r="G12" s="26">
        <v>620</v>
      </c>
      <c r="H12" s="26">
        <v>620</v>
      </c>
      <c r="I12" s="2">
        <v>46</v>
      </c>
    </row>
    <row r="13" spans="1:9" ht="15" customHeight="1">
      <c r="A13" s="1">
        <v>11</v>
      </c>
      <c r="B13" s="1">
        <v>11</v>
      </c>
      <c r="C13" s="2" t="s">
        <v>12</v>
      </c>
      <c r="D13" s="2">
        <v>1</v>
      </c>
      <c r="E13" s="1" t="s">
        <v>2</v>
      </c>
      <c r="F13" s="1">
        <v>0</v>
      </c>
      <c r="G13" s="26">
        <v>664</v>
      </c>
      <c r="H13" s="26">
        <v>664</v>
      </c>
      <c r="I13" s="2">
        <v>30</v>
      </c>
    </row>
    <row r="14" spans="1:8" ht="15" customHeight="1">
      <c r="A14" s="1">
        <v>21</v>
      </c>
      <c r="B14" s="1">
        <v>1</v>
      </c>
      <c r="C14" s="2" t="s">
        <v>14</v>
      </c>
      <c r="D14" s="2">
        <v>0</v>
      </c>
      <c r="E14" s="1" t="s">
        <v>6</v>
      </c>
      <c r="F14" s="1">
        <v>24</v>
      </c>
      <c r="G14" s="26">
        <v>570</v>
      </c>
      <c r="H14" s="26">
        <v>516</v>
      </c>
    </row>
    <row r="15" spans="1:8" ht="15" customHeight="1">
      <c r="A15" s="1">
        <v>22</v>
      </c>
      <c r="B15" s="1">
        <v>1</v>
      </c>
      <c r="C15" s="2" t="s">
        <v>12</v>
      </c>
      <c r="D15" s="2">
        <v>1</v>
      </c>
      <c r="E15" s="1" t="s">
        <v>6</v>
      </c>
      <c r="F15" s="1">
        <v>24</v>
      </c>
      <c r="G15" s="26">
        <v>611</v>
      </c>
      <c r="H15" s="26">
        <v>570</v>
      </c>
    </row>
    <row r="16" spans="1:8" ht="15" customHeight="1">
      <c r="A16" s="1">
        <v>23</v>
      </c>
      <c r="B16" s="1">
        <v>2</v>
      </c>
      <c r="C16" s="2" t="s">
        <v>12</v>
      </c>
      <c r="D16" s="2">
        <v>1</v>
      </c>
      <c r="E16" s="1" t="s">
        <v>3</v>
      </c>
      <c r="F16" s="1">
        <v>30</v>
      </c>
      <c r="G16" s="26">
        <v>652</v>
      </c>
      <c r="H16" s="26">
        <v>611</v>
      </c>
    </row>
    <row r="17" spans="1:17" ht="15" customHeight="1">
      <c r="A17" s="1">
        <v>24</v>
      </c>
      <c r="B17" s="1">
        <v>3</v>
      </c>
      <c r="C17" s="2" t="s">
        <v>12</v>
      </c>
      <c r="D17" s="2">
        <v>1</v>
      </c>
      <c r="E17" s="1" t="s">
        <v>3</v>
      </c>
      <c r="F17" s="1">
        <v>30</v>
      </c>
      <c r="G17" s="26">
        <v>705</v>
      </c>
      <c r="H17" s="26">
        <v>652</v>
      </c>
      <c r="I17" t="s">
        <v>45</v>
      </c>
      <c r="J17" t="s">
        <v>54</v>
      </c>
      <c r="K17" t="s">
        <v>48</v>
      </c>
      <c r="M17" t="s">
        <v>47</v>
      </c>
      <c r="N17" t="s">
        <v>50</v>
      </c>
      <c r="O17" t="s">
        <v>49</v>
      </c>
      <c r="P17" t="s">
        <v>51</v>
      </c>
      <c r="Q17" t="s">
        <v>65</v>
      </c>
    </row>
    <row r="18" spans="1:17" ht="15" customHeight="1">
      <c r="A18" s="1">
        <v>25</v>
      </c>
      <c r="B18" s="1">
        <v>4</v>
      </c>
      <c r="C18" s="2" t="s">
        <v>12</v>
      </c>
      <c r="D18" s="2">
        <v>1</v>
      </c>
      <c r="E18" s="1" t="s">
        <v>5</v>
      </c>
      <c r="F18" s="1">
        <v>36</v>
      </c>
      <c r="G18" s="26">
        <v>751</v>
      </c>
      <c r="H18" s="26">
        <v>705</v>
      </c>
      <c r="I18" s="21">
        <f>IF(Reclassement!K4="Cert",Reclassement!L4,"")</f>
        <v>0</v>
      </c>
      <c r="J18" s="21" t="e">
        <f>LOOKUP(I18,A3:A25,D3:D25)</f>
        <v>#N/A</v>
      </c>
      <c r="K18" s="21" t="e">
        <f>LOOKUP(I18,A3:A25,B3:B25)</f>
        <v>#N/A</v>
      </c>
      <c r="L18" s="21" t="e">
        <f>IF(I18&lt;20,K18,IF(I18&lt;100,20+K18,100+K18))</f>
        <v>#N/A</v>
      </c>
      <c r="M18" s="21" t="e">
        <f>LOOKUP(L18,A3:A25,F3:F25)</f>
        <v>#N/A</v>
      </c>
      <c r="N18" s="21">
        <f>Reclassement!Q6</f>
        <v>1412</v>
      </c>
      <c r="O18" s="21" t="e">
        <f>IF(M18=0,K18,IF(N18&gt;=M18,K18+1,K18))</f>
        <v>#N/A</v>
      </c>
      <c r="P18" s="21" t="e">
        <f>IF(OR(O18&gt;K18,J18=0),0,IF(J18=2,N18+3,N18))</f>
        <v>#N/A</v>
      </c>
      <c r="Q18" t="e">
        <f>LOOKUP(O19,A3:A24,G3:G24)</f>
        <v>#N/A</v>
      </c>
    </row>
    <row r="19" spans="1:15" ht="15" customHeight="1">
      <c r="A19" s="1">
        <v>26</v>
      </c>
      <c r="B19" s="1">
        <v>5</v>
      </c>
      <c r="C19" s="2" t="s">
        <v>12</v>
      </c>
      <c r="D19" s="2">
        <v>1</v>
      </c>
      <c r="E19" s="1" t="s">
        <v>2</v>
      </c>
      <c r="F19" s="1">
        <v>0</v>
      </c>
      <c r="G19" s="26">
        <v>793</v>
      </c>
      <c r="H19" s="26">
        <v>751</v>
      </c>
      <c r="O19" s="21" t="e">
        <f>IF(I18&lt;20,O18,IF(I18&lt;100,20+O18,100+O18))</f>
        <v>#N/A</v>
      </c>
    </row>
    <row r="20" spans="1:9" ht="15" customHeight="1">
      <c r="A20" s="1">
        <v>27</v>
      </c>
      <c r="B20" s="1">
        <v>6</v>
      </c>
      <c r="C20" s="2" t="s">
        <v>12</v>
      </c>
      <c r="D20" s="2">
        <v>1</v>
      </c>
      <c r="E20" s="4"/>
      <c r="F20" s="4">
        <v>0</v>
      </c>
      <c r="G20" s="26"/>
      <c r="H20" s="26">
        <v>793</v>
      </c>
      <c r="I20" t="s">
        <v>76</v>
      </c>
    </row>
    <row r="21" spans="1:10" ht="15" customHeight="1">
      <c r="A21" s="1">
        <v>101</v>
      </c>
      <c r="B21" s="1"/>
      <c r="C21" s="2"/>
      <c r="D21" s="2"/>
      <c r="E21" s="1" t="s">
        <v>6</v>
      </c>
      <c r="F21" s="1">
        <v>24</v>
      </c>
      <c r="G21" s="26">
        <v>690</v>
      </c>
      <c r="H21" s="26">
        <v>690</v>
      </c>
      <c r="I21" t="e">
        <f>LOOKUP(I18,A3:A25,H3:H25)</f>
        <v>#N/A</v>
      </c>
      <c r="J21" t="s">
        <v>71</v>
      </c>
    </row>
    <row r="22" spans="1:10" ht="15" customHeight="1">
      <c r="A22" s="1">
        <v>102</v>
      </c>
      <c r="B22" s="1"/>
      <c r="C22" s="2"/>
      <c r="D22" s="2"/>
      <c r="E22" s="1" t="s">
        <v>6</v>
      </c>
      <c r="F22" s="1">
        <v>24</v>
      </c>
      <c r="G22" s="26">
        <v>730</v>
      </c>
      <c r="H22" s="26">
        <v>730</v>
      </c>
      <c r="J22">
        <f>IF(Etude_Reclassement!B16="","",IF(Etude_Reclassement!F16="Non","",LOOKUP(K18,A3:A13,I3:I13)))</f>
      </c>
    </row>
    <row r="23" spans="1:8" ht="15" customHeight="1">
      <c r="A23" s="1">
        <v>103</v>
      </c>
      <c r="B23" s="1"/>
      <c r="C23" s="2"/>
      <c r="D23" s="2"/>
      <c r="E23" s="1" t="s">
        <v>3</v>
      </c>
      <c r="F23" s="1">
        <v>30</v>
      </c>
      <c r="G23" s="26">
        <v>770</v>
      </c>
      <c r="H23" s="26">
        <v>770</v>
      </c>
    </row>
    <row r="24" spans="1:8" ht="15" customHeight="1">
      <c r="A24" s="1">
        <v>104</v>
      </c>
      <c r="B24" s="4"/>
      <c r="C24" s="4"/>
      <c r="D24" s="4"/>
      <c r="E24" s="1" t="s">
        <v>2</v>
      </c>
      <c r="F24" s="1">
        <v>0</v>
      </c>
      <c r="G24" s="26">
        <v>826</v>
      </c>
      <c r="H24" s="26">
        <v>826</v>
      </c>
    </row>
    <row r="25" spans="1:8" ht="15" customHeight="1">
      <c r="A25" s="4" t="s">
        <v>41</v>
      </c>
      <c r="B25" s="4"/>
      <c r="C25" s="4"/>
      <c r="D25" s="4"/>
      <c r="E25" s="1" t="s">
        <v>2</v>
      </c>
      <c r="F25" s="1">
        <v>0</v>
      </c>
      <c r="G25" s="26" t="s">
        <v>67</v>
      </c>
      <c r="H25" s="26" t="s">
        <v>67</v>
      </c>
    </row>
  </sheetData>
  <sheetProtection password="DB59" sheet="1"/>
  <mergeCells count="8">
    <mergeCell ref="I1:I2"/>
    <mergeCell ref="B1:B2"/>
    <mergeCell ref="C1:C2"/>
    <mergeCell ref="F1:F2"/>
    <mergeCell ref="A1:A2"/>
    <mergeCell ref="E1:E2"/>
    <mergeCell ref="G1:G2"/>
    <mergeCell ref="H1:H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D1">
      <selection activeCell="F18" sqref="F18"/>
    </sheetView>
  </sheetViews>
  <sheetFormatPr defaultColWidth="11.421875" defaultRowHeight="15"/>
  <cols>
    <col min="1" max="1" width="17.57421875" style="0" customWidth="1"/>
    <col min="2" max="2" width="16.00390625" style="0" customWidth="1"/>
    <col min="3" max="3" width="32.28125" style="0" customWidth="1"/>
    <col min="5" max="6" width="17.421875" style="0" customWidth="1"/>
    <col min="8" max="8" width="12.57421875" style="0" customWidth="1"/>
    <col min="15" max="15" width="12.28125" style="0" bestFit="1" customWidth="1"/>
  </cols>
  <sheetData>
    <row r="1" spans="1:8" ht="30.75" customHeight="1">
      <c r="A1" s="112" t="s">
        <v>0</v>
      </c>
      <c r="B1" s="111" t="s">
        <v>10</v>
      </c>
      <c r="C1" s="111" t="s">
        <v>11</v>
      </c>
      <c r="D1" s="114" t="s">
        <v>54</v>
      </c>
      <c r="E1" s="112" t="s">
        <v>1</v>
      </c>
      <c r="F1" s="112" t="s">
        <v>1</v>
      </c>
      <c r="G1" s="109" t="s">
        <v>64</v>
      </c>
      <c r="H1" s="109" t="s">
        <v>75</v>
      </c>
    </row>
    <row r="2" spans="1:8" ht="15" customHeight="1">
      <c r="A2" s="113"/>
      <c r="B2" s="111"/>
      <c r="C2" s="111"/>
      <c r="D2" s="115"/>
      <c r="E2" s="113"/>
      <c r="F2" s="113"/>
      <c r="G2" s="110"/>
      <c r="H2" s="110"/>
    </row>
    <row r="3" spans="1:8" ht="15" customHeight="1">
      <c r="A3" s="1">
        <v>1</v>
      </c>
      <c r="B3" s="1">
        <v>1</v>
      </c>
      <c r="C3" s="2" t="s">
        <v>12</v>
      </c>
      <c r="D3" s="2">
        <v>1</v>
      </c>
      <c r="E3" s="1" t="s">
        <v>6</v>
      </c>
      <c r="F3" s="1">
        <v>24</v>
      </c>
      <c r="G3" s="26">
        <v>317</v>
      </c>
      <c r="H3" s="26">
        <v>317</v>
      </c>
    </row>
    <row r="4" spans="1:8" ht="15" customHeight="1">
      <c r="A4" s="1">
        <v>2</v>
      </c>
      <c r="B4" s="1">
        <v>2</v>
      </c>
      <c r="C4" s="2" t="s">
        <v>12</v>
      </c>
      <c r="D4" s="2">
        <v>1</v>
      </c>
      <c r="E4" s="1" t="s">
        <v>13</v>
      </c>
      <c r="F4" s="1">
        <v>9</v>
      </c>
      <c r="G4" s="26">
        <v>349</v>
      </c>
      <c r="H4" s="26">
        <v>349</v>
      </c>
    </row>
    <row r="5" spans="1:8" ht="15" customHeight="1">
      <c r="A5" s="1">
        <v>3</v>
      </c>
      <c r="B5" s="1">
        <v>3</v>
      </c>
      <c r="C5" s="2" t="s">
        <v>12</v>
      </c>
      <c r="D5" s="2">
        <v>1</v>
      </c>
      <c r="E5" s="1" t="s">
        <v>13</v>
      </c>
      <c r="F5" s="1">
        <v>9</v>
      </c>
      <c r="G5" s="26">
        <v>365</v>
      </c>
      <c r="H5" s="26">
        <v>365</v>
      </c>
    </row>
    <row r="6" spans="1:8" ht="15" customHeight="1">
      <c r="A6" s="1">
        <v>4</v>
      </c>
      <c r="B6" s="1">
        <v>4</v>
      </c>
      <c r="C6" s="2" t="s">
        <v>12</v>
      </c>
      <c r="D6" s="2">
        <v>1</v>
      </c>
      <c r="E6" s="1" t="s">
        <v>4</v>
      </c>
      <c r="F6" s="1">
        <v>12</v>
      </c>
      <c r="G6" s="26">
        <v>374</v>
      </c>
      <c r="H6" s="26">
        <v>374</v>
      </c>
    </row>
    <row r="7" spans="1:8" ht="15" customHeight="1">
      <c r="A7" s="1">
        <v>5</v>
      </c>
      <c r="B7" s="1">
        <v>5</v>
      </c>
      <c r="C7" s="2" t="s">
        <v>12</v>
      </c>
      <c r="D7" s="2">
        <v>1</v>
      </c>
      <c r="E7" s="1" t="s">
        <v>8</v>
      </c>
      <c r="F7" s="1">
        <v>18</v>
      </c>
      <c r="G7" s="26">
        <v>381</v>
      </c>
      <c r="H7" s="26">
        <v>381</v>
      </c>
    </row>
    <row r="8" spans="1:8" ht="15" customHeight="1">
      <c r="A8" s="1">
        <v>6</v>
      </c>
      <c r="B8" s="1">
        <v>6</v>
      </c>
      <c r="C8" s="2" t="s">
        <v>12</v>
      </c>
      <c r="D8" s="2">
        <v>1</v>
      </c>
      <c r="E8" s="1" t="s">
        <v>8</v>
      </c>
      <c r="F8" s="1">
        <v>18</v>
      </c>
      <c r="G8" s="26">
        <v>391</v>
      </c>
      <c r="H8" s="26">
        <v>391</v>
      </c>
    </row>
    <row r="9" spans="1:8" ht="15" customHeight="1">
      <c r="A9" s="1">
        <v>7</v>
      </c>
      <c r="B9" s="1">
        <v>7</v>
      </c>
      <c r="C9" s="2" t="s">
        <v>12</v>
      </c>
      <c r="D9" s="2">
        <v>1</v>
      </c>
      <c r="E9" s="1" t="s">
        <v>8</v>
      </c>
      <c r="F9" s="1">
        <v>18</v>
      </c>
      <c r="G9" s="26">
        <v>398</v>
      </c>
      <c r="H9" s="26">
        <v>398</v>
      </c>
    </row>
    <row r="10" spans="1:8" ht="15" customHeight="1">
      <c r="A10" s="1">
        <v>8</v>
      </c>
      <c r="B10" s="1">
        <v>8</v>
      </c>
      <c r="C10" s="2" t="s">
        <v>12</v>
      </c>
      <c r="D10" s="2">
        <v>1</v>
      </c>
      <c r="E10" s="1" t="s">
        <v>16</v>
      </c>
      <c r="F10" s="1">
        <v>36</v>
      </c>
      <c r="G10" s="26">
        <v>407</v>
      </c>
      <c r="H10" s="26">
        <v>407</v>
      </c>
    </row>
    <row r="11" spans="1:8" ht="15" customHeight="1">
      <c r="A11" s="1">
        <v>9</v>
      </c>
      <c r="B11" s="1">
        <v>9</v>
      </c>
      <c r="C11" s="2" t="s">
        <v>12</v>
      </c>
      <c r="D11" s="2">
        <v>1</v>
      </c>
      <c r="E11" s="1" t="s">
        <v>7</v>
      </c>
      <c r="F11" s="1">
        <v>42</v>
      </c>
      <c r="G11" s="26">
        <v>428</v>
      </c>
      <c r="H11" s="26">
        <v>428</v>
      </c>
    </row>
    <row r="12" spans="1:8" ht="15" customHeight="1">
      <c r="A12" s="1">
        <v>10</v>
      </c>
      <c r="B12" s="1">
        <v>10</v>
      </c>
      <c r="C12" s="2" t="s">
        <v>12</v>
      </c>
      <c r="D12" s="2">
        <v>1</v>
      </c>
      <c r="E12" s="1" t="s">
        <v>9</v>
      </c>
      <c r="F12" s="1">
        <v>48</v>
      </c>
      <c r="G12" s="26">
        <v>449</v>
      </c>
      <c r="H12" s="26">
        <v>449</v>
      </c>
    </row>
    <row r="13" spans="1:8" ht="15" customHeight="1">
      <c r="A13" s="1">
        <v>11</v>
      </c>
      <c r="B13" s="1">
        <v>11</v>
      </c>
      <c r="C13" s="2" t="s">
        <v>12</v>
      </c>
      <c r="D13" s="2">
        <v>1</v>
      </c>
      <c r="E13" s="1" t="s">
        <v>9</v>
      </c>
      <c r="F13" s="1">
        <v>48</v>
      </c>
      <c r="G13" s="26">
        <v>479</v>
      </c>
      <c r="H13" s="26">
        <v>479</v>
      </c>
    </row>
    <row r="14" spans="1:8" ht="15" customHeight="1">
      <c r="A14" s="1">
        <v>12</v>
      </c>
      <c r="B14" s="1">
        <v>12</v>
      </c>
      <c r="C14" s="2" t="s">
        <v>12</v>
      </c>
      <c r="D14" s="2">
        <v>1</v>
      </c>
      <c r="E14" s="1" t="s">
        <v>2</v>
      </c>
      <c r="F14" s="1">
        <v>0</v>
      </c>
      <c r="G14" s="26">
        <v>523</v>
      </c>
      <c r="H14" s="26">
        <v>523</v>
      </c>
    </row>
    <row r="15" ht="15">
      <c r="D15" s="24"/>
    </row>
    <row r="17" spans="8:16" ht="15">
      <c r="H17" t="s">
        <v>45</v>
      </c>
      <c r="I17" t="s">
        <v>54</v>
      </c>
      <c r="J17" t="s">
        <v>48</v>
      </c>
      <c r="L17" t="s">
        <v>47</v>
      </c>
      <c r="M17" t="s">
        <v>50</v>
      </c>
      <c r="N17" t="s">
        <v>49</v>
      </c>
      <c r="O17" t="s">
        <v>51</v>
      </c>
      <c r="P17" t="s">
        <v>65</v>
      </c>
    </row>
    <row r="18" spans="8:16" ht="15">
      <c r="H18" s="21">
        <f>IF(Reclassement!K4="May",Reclassement!L4,"")</f>
      </c>
      <c r="I18" s="21" t="e">
        <f>LOOKUP(H18,A3:A22,D3:D22)</f>
        <v>#N/A</v>
      </c>
      <c r="J18" s="21" t="e">
        <f>LOOKUP(H18,A3:A22,B3:B22)</f>
        <v>#N/A</v>
      </c>
      <c r="K18" s="21" t="e">
        <f>IF(H18&lt;20,J18,IF(H18&lt;100,20+J18,100+J18))</f>
        <v>#N/A</v>
      </c>
      <c r="L18" s="21" t="e">
        <f>LOOKUP(K18,A3:A22,F3:F22)</f>
        <v>#N/A</v>
      </c>
      <c r="M18" s="21">
        <f>Reclassement!Q6</f>
        <v>1412</v>
      </c>
      <c r="N18" s="21" t="e">
        <f>IF(L18=0,J18,IF(M18&gt;=L18,J18+1,J18))</f>
        <v>#N/A</v>
      </c>
      <c r="O18" s="21" t="e">
        <f>IF(OR(N18&gt;J18,I18=0),0,IF(I18=2,M18+3,M18))</f>
        <v>#N/A</v>
      </c>
      <c r="P18" t="e">
        <f>LOOKUP(N19,A3:A14,G3:G14)</f>
        <v>#N/A</v>
      </c>
    </row>
    <row r="19" ht="15">
      <c r="N19" s="21" t="e">
        <f>IF(H18&lt;20,N18,IF(H18&lt;100,20+N18,100+N18))</f>
        <v>#N/A</v>
      </c>
    </row>
    <row r="20" ht="15">
      <c r="H20" t="s">
        <v>76</v>
      </c>
    </row>
    <row r="21" ht="15">
      <c r="H21" t="e">
        <f>LOOKUP(H18,A3:A14,H3:H14)</f>
        <v>#N/A</v>
      </c>
    </row>
  </sheetData>
  <sheetProtection password="DB59" sheet="1"/>
  <mergeCells count="8">
    <mergeCell ref="H1:H2"/>
    <mergeCell ref="G1:G2"/>
    <mergeCell ref="A1:A2"/>
    <mergeCell ref="E1:E2"/>
    <mergeCell ref="B1:B2"/>
    <mergeCell ref="C1:C2"/>
    <mergeCell ref="F1:F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</dc:creator>
  <cp:keywords/>
  <dc:description/>
  <cp:lastModifiedBy>CAROLE</cp:lastModifiedBy>
  <cp:lastPrinted>2017-06-01T15:47:49Z</cp:lastPrinted>
  <dcterms:created xsi:type="dcterms:W3CDTF">2017-05-10T14:36:25Z</dcterms:created>
  <dcterms:modified xsi:type="dcterms:W3CDTF">2017-06-02T07:27:55Z</dcterms:modified>
  <cp:category/>
  <cp:version/>
  <cp:contentType/>
  <cp:contentStatus/>
</cp:coreProperties>
</file>